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Z:\HD\Planejamento\2023\HIANCEN\033_RECAPE 500.000,00\001_LICITAÇÃO\001_PROJETO\"/>
    </mc:Choice>
  </mc:AlternateContent>
  <xr:revisionPtr revIDLastSave="0" documentId="13_ncr:1_{17039306-2FDE-4D84-BBDB-7FC75E7CC745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Memória de cálculo" sheetId="139" r:id="rId1"/>
    <sheet name="1.0 Canteiro - 2.0 Caiçara" sheetId="124" r:id="rId2"/>
    <sheet name="3.0 José Antunes de Carvalho" sheetId="143" r:id="rId3"/>
    <sheet name="4.0 Travessa José A. de Carvalh" sheetId="144" r:id="rId4"/>
    <sheet name="5.0 Luiz Th. Lima" sheetId="123" r:id="rId5"/>
    <sheet name="CFF - Licitação" sheetId="142" r:id="rId6"/>
  </sheets>
  <definedNames>
    <definedName name="_xlnm.Print_Area" localSheetId="1">'1.0 Canteiro - 2.0 Caiçara'!$A$1:$I$54</definedName>
    <definedName name="_xlnm.Print_Area" localSheetId="2">'3.0 José Antunes de Carvalho'!$A$1:$I$30</definedName>
    <definedName name="_xlnm.Print_Area" localSheetId="3">'4.0 Travessa José A. de Carvalh'!$A$1:$I$15</definedName>
    <definedName name="_xlnm.Print_Area" localSheetId="4">'5.0 Luiz Th. Lima'!$A$1:$I$51</definedName>
    <definedName name="_xlnm.Print_Area" localSheetId="5">'CFF - Licitação'!$A$1:$E$29</definedName>
    <definedName name="_xlnm.Print_Area" localSheetId="0">'Memória de cálculo'!$A$1:$F$117</definedName>
    <definedName name="Arial">#REF!</definedName>
  </definedNames>
  <calcPr calcId="191029"/>
</workbook>
</file>

<file path=xl/calcChain.xml><?xml version="1.0" encoding="utf-8"?>
<calcChain xmlns="http://schemas.openxmlformats.org/spreadsheetml/2006/main">
  <c r="B6" i="142" l="1"/>
  <c r="I12" i="124"/>
  <c r="I14" i="124"/>
  <c r="I23" i="124"/>
  <c r="I27" i="124"/>
  <c r="I31" i="124"/>
  <c r="I33" i="124"/>
  <c r="I35" i="124"/>
  <c r="I37" i="124"/>
  <c r="I42" i="124"/>
  <c r="I44" i="124"/>
  <c r="I48" i="124"/>
  <c r="D19" i="142"/>
  <c r="F70" i="139"/>
  <c r="F69" i="139" s="1"/>
  <c r="F90" i="139"/>
  <c r="F92" i="139"/>
  <c r="F91" i="139" s="1"/>
  <c r="F45" i="139"/>
  <c r="F44" i="139" s="1"/>
  <c r="F100" i="139"/>
  <c r="F99" i="139" s="1"/>
  <c r="F102" i="139"/>
  <c r="F101" i="139" s="1"/>
  <c r="F96" i="139"/>
  <c r="F95" i="139" s="1"/>
  <c r="E91" i="139"/>
  <c r="D91" i="139"/>
  <c r="E89" i="139"/>
  <c r="D89" i="139"/>
  <c r="F84" i="139"/>
  <c r="F88" i="139" s="1"/>
  <c r="F87" i="139" s="1"/>
  <c r="F75" i="139"/>
  <c r="F79" i="139" s="1"/>
  <c r="F78" i="139" s="1"/>
  <c r="F77" i="139"/>
  <c r="F76" i="139" s="1"/>
  <c r="F62" i="139"/>
  <c r="F61" i="139" s="1"/>
  <c r="F60" i="139"/>
  <c r="F59" i="139" s="1"/>
  <c r="F43" i="139"/>
  <c r="F68" i="139"/>
  <c r="F67" i="139" s="1"/>
  <c r="E69" i="139"/>
  <c r="D69" i="139"/>
  <c r="E67" i="139"/>
  <c r="D67" i="139"/>
  <c r="F66" i="139"/>
  <c r="F65" i="139" s="1"/>
  <c r="E65" i="139"/>
  <c r="D65" i="139"/>
  <c r="F25" i="139"/>
  <c r="F24" i="139" s="1"/>
  <c r="F58" i="139"/>
  <c r="F57" i="139" s="1"/>
  <c r="E61" i="139"/>
  <c r="D61" i="139"/>
  <c r="E59" i="139"/>
  <c r="D59" i="139"/>
  <c r="F56" i="139"/>
  <c r="E57" i="139"/>
  <c r="D57" i="139"/>
  <c r="E55" i="139"/>
  <c r="D55" i="139"/>
  <c r="F41" i="139"/>
  <c r="F40" i="139" s="1"/>
  <c r="F35" i="139"/>
  <c r="F34" i="139" s="1"/>
  <c r="E34" i="139"/>
  <c r="D34" i="139"/>
  <c r="F52" i="139"/>
  <c r="F51" i="139" s="1"/>
  <c r="E101" i="139"/>
  <c r="D101" i="139"/>
  <c r="E99" i="139"/>
  <c r="D99" i="139"/>
  <c r="F98" i="139"/>
  <c r="F97" i="139" s="1"/>
  <c r="E97" i="139"/>
  <c r="D97" i="139"/>
  <c r="E95" i="139"/>
  <c r="D95" i="139"/>
  <c r="E87" i="139"/>
  <c r="D87" i="139"/>
  <c r="E85" i="139"/>
  <c r="D85" i="139"/>
  <c r="E83" i="139"/>
  <c r="D83" i="139"/>
  <c r="E78" i="139"/>
  <c r="D78" i="139"/>
  <c r="E76" i="139"/>
  <c r="D76" i="139"/>
  <c r="E74" i="139"/>
  <c r="D74" i="139"/>
  <c r="E53" i="139"/>
  <c r="D53" i="139"/>
  <c r="E51" i="139"/>
  <c r="D51" i="139"/>
  <c r="F50" i="139"/>
  <c r="F54" i="139" s="1"/>
  <c r="F53" i="139" s="1"/>
  <c r="E49" i="139"/>
  <c r="D49" i="139"/>
  <c r="E44" i="139"/>
  <c r="D44" i="139"/>
  <c r="F42" i="139"/>
  <c r="E42" i="139"/>
  <c r="D42" i="139"/>
  <c r="E40" i="139"/>
  <c r="D40" i="139"/>
  <c r="F39" i="139"/>
  <c r="F38" i="139" s="1"/>
  <c r="E38" i="139"/>
  <c r="D38" i="139"/>
  <c r="F33" i="139"/>
  <c r="F32" i="139" s="1"/>
  <c r="E32" i="139"/>
  <c r="D32" i="139"/>
  <c r="F31" i="139"/>
  <c r="F30" i="139" s="1"/>
  <c r="E30" i="139"/>
  <c r="D30" i="139"/>
  <c r="F29" i="139"/>
  <c r="F28" i="139" s="1"/>
  <c r="E28" i="139"/>
  <c r="D28" i="139"/>
  <c r="F27" i="139"/>
  <c r="F26" i="139" s="1"/>
  <c r="E26" i="139"/>
  <c r="D26" i="139"/>
  <c r="E24" i="139"/>
  <c r="D24" i="139"/>
  <c r="F23" i="139"/>
  <c r="F22" i="139" s="1"/>
  <c r="E22" i="139"/>
  <c r="D22" i="139"/>
  <c r="F21" i="139"/>
  <c r="F20" i="139" s="1"/>
  <c r="E20" i="139"/>
  <c r="D20" i="139"/>
  <c r="F16" i="139"/>
  <c r="F15" i="139" s="1"/>
  <c r="E15" i="139"/>
  <c r="D15" i="139"/>
  <c r="F14" i="139"/>
  <c r="F13" i="139" s="1"/>
  <c r="E13" i="139"/>
  <c r="D13" i="139"/>
  <c r="B14" i="142"/>
  <c r="B12" i="142"/>
  <c r="B10" i="142"/>
  <c r="B8" i="142"/>
  <c r="I17" i="124" l="1"/>
  <c r="I19" i="124" s="1"/>
  <c r="I29" i="124"/>
  <c r="I25" i="124"/>
  <c r="I39" i="124" s="1"/>
  <c r="I46" i="124"/>
  <c r="I51" i="124" s="1"/>
  <c r="I12" i="123"/>
  <c r="F86" i="139"/>
  <c r="F89" i="139" s="1"/>
  <c r="I24" i="143"/>
  <c r="I20" i="143"/>
  <c r="I22" i="143"/>
  <c r="F55" i="139"/>
  <c r="I11" i="143" s="1"/>
  <c r="I14" i="143"/>
  <c r="I13" i="143"/>
  <c r="I12" i="143"/>
  <c r="I9" i="144"/>
  <c r="F49" i="139"/>
  <c r="I5" i="143" s="1"/>
  <c r="F83" i="139"/>
  <c r="F74" i="139"/>
  <c r="I5" i="144" s="1"/>
  <c r="I7" i="144"/>
  <c r="I7" i="143"/>
  <c r="I9" i="143"/>
  <c r="I53" i="124" l="1"/>
  <c r="I27" i="143"/>
  <c r="I16" i="143"/>
  <c r="I12" i="144"/>
  <c r="I14" i="144" s="1"/>
  <c r="I11" i="123"/>
  <c r="F85" i="139"/>
  <c r="I29" i="143" l="1"/>
  <c r="I17" i="123" l="1"/>
  <c r="I21" i="123"/>
  <c r="I19" i="123"/>
  <c r="I23" i="123"/>
  <c r="I26" i="123" l="1"/>
  <c r="C13" i="142" l="1"/>
  <c r="D13" i="142"/>
  <c r="D11" i="142"/>
  <c r="C11" i="142"/>
  <c r="C7" i="142" l="1"/>
  <c r="I5" i="123" l="1"/>
  <c r="I7" i="123" l="1"/>
  <c r="I9" i="123"/>
  <c r="I14" i="123" l="1"/>
  <c r="I28" i="123" s="1"/>
  <c r="K34" i="124" l="1"/>
  <c r="C15" i="142" l="1"/>
  <c r="D15" i="142"/>
  <c r="I30" i="123"/>
  <c r="C9" i="142" l="1"/>
  <c r="C16" i="142" s="1"/>
  <c r="D9" i="142"/>
  <c r="D16" i="142" s="1"/>
  <c r="E17" i="142" l="1"/>
</calcChain>
</file>

<file path=xl/sharedStrings.xml><?xml version="1.0" encoding="utf-8"?>
<sst xmlns="http://schemas.openxmlformats.org/spreadsheetml/2006/main" count="485" uniqueCount="171">
  <si>
    <t>Código</t>
  </si>
  <si>
    <t>Placa de identificação para obra</t>
  </si>
  <si>
    <t>02.01.180</t>
  </si>
  <si>
    <t>Item</t>
  </si>
  <si>
    <t>Fonte</t>
  </si>
  <si>
    <t>Un.</t>
  </si>
  <si>
    <t>Descrição dos Serviços</t>
  </si>
  <si>
    <t>TOTAL</t>
  </si>
  <si>
    <t>Preço unitário Sem BDI</t>
  </si>
  <si>
    <t>Preço unitário Com BDI %</t>
  </si>
  <si>
    <t>1.0</t>
  </si>
  <si>
    <t>Banheiro químico modelo Standard, com manutenção conforme exigências da CETESB</t>
  </si>
  <si>
    <t>02.08.020</t>
  </si>
  <si>
    <t>03.07.010</t>
  </si>
  <si>
    <t>Demolição (levantamento) mecanizada de pavimento asfáltico, inclusive carregamento, transporte até 1 quilômetro e descarregamento</t>
  </si>
  <si>
    <t>03.07.080</t>
  </si>
  <si>
    <t>Fresagem de pavimento asfáltico com espessura até 5 cm, inclusive remoção do material fresado até 10 quilômetros e varrição</t>
  </si>
  <si>
    <t>Broca em concreto armado diâmetro de 20 cm - completa</t>
  </si>
  <si>
    <t>54.01.030</t>
  </si>
  <si>
    <t>Abertura e preparo de caixa até 40 cm, compactação do subleito mínimo de 95% do PN e transporte até o raio de 1 km</t>
  </si>
  <si>
    <t>54.01.210</t>
  </si>
  <si>
    <t>Base de brita graduada</t>
  </si>
  <si>
    <t>54.03.210</t>
  </si>
  <si>
    <t>Camada de rolamento em concreto betuminoso usinado quente - CBUQ</t>
  </si>
  <si>
    <t>54.03.230</t>
  </si>
  <si>
    <t>Imprimação betuminosa ligante</t>
  </si>
  <si>
    <t>54.03.240</t>
  </si>
  <si>
    <t>Imprimação betuminosa impermeabilizante</t>
  </si>
  <si>
    <t>54.06.040</t>
  </si>
  <si>
    <t>Guia pré-moldada reta tipo PMSP 100 - fck 25 MPa</t>
  </si>
  <si>
    <t>54.06.160</t>
  </si>
  <si>
    <t>Sarjeta ou sarjetão moldado no local, tipo PMSP em concreto com fck 20 MPa</t>
  </si>
  <si>
    <t>Planilha Orçamentária</t>
  </si>
  <si>
    <t>M2</t>
  </si>
  <si>
    <t>M</t>
  </si>
  <si>
    <t>UN</t>
  </si>
  <si>
    <t>M3</t>
  </si>
  <si>
    <t>Quantidade</t>
  </si>
  <si>
    <t xml:space="preserve">Preço Total </t>
  </si>
  <si>
    <t>Rampas</t>
  </si>
  <si>
    <t>Tipo 1</t>
  </si>
  <si>
    <t>BDI:</t>
  </si>
  <si>
    <t>12.01.021</t>
  </si>
  <si>
    <t>70.02.016</t>
  </si>
  <si>
    <t>Sinalização horizontal em massa termoplástica à quente por extrusão, espessura de 3,0 mm, para faixas</t>
  </si>
  <si>
    <t>70.03.001</t>
  </si>
  <si>
    <t>Placa para sinalização viária em chapa de aço, totalmente refletiva com película IA/IA - área até 2,0 m²</t>
  </si>
  <si>
    <t>70.04.001</t>
  </si>
  <si>
    <t>UNMES</t>
  </si>
  <si>
    <t>1.1</t>
  </si>
  <si>
    <t>CDHU</t>
  </si>
  <si>
    <t>Total da obra (Mat. + MO)</t>
  </si>
  <si>
    <t>Coluna simples (PP), diâmetro de 2 1/2´ e comprimento de 3,6 m</t>
  </si>
  <si>
    <t>INÍCIO, APOIO E ADMINISTRAÇÃO DA OBRA</t>
  </si>
  <si>
    <t>2.1</t>
  </si>
  <si>
    <t>2.2</t>
  </si>
  <si>
    <t>3.1</t>
  </si>
  <si>
    <t>4.1</t>
  </si>
  <si>
    <t>SINALIZAÇÃO</t>
  </si>
  <si>
    <t>RECAPEAMENTO ASFÁLTICO E INTERVENÇÕES NO PAVIMENTO</t>
  </si>
  <si>
    <t>5.1</t>
  </si>
  <si>
    <t>5.2</t>
  </si>
  <si>
    <t>1.1.1</t>
  </si>
  <si>
    <t>1.1.2</t>
  </si>
  <si>
    <t>Valor total do item 1.1</t>
  </si>
  <si>
    <t>2.1.1</t>
  </si>
  <si>
    <t>2.1.2</t>
  </si>
  <si>
    <t>2.1.3</t>
  </si>
  <si>
    <t>2.1.4</t>
  </si>
  <si>
    <t>2.1.5</t>
  </si>
  <si>
    <t>2.1.6</t>
  </si>
  <si>
    <t>2.1.7</t>
  </si>
  <si>
    <t>3.1.1</t>
  </si>
  <si>
    <t>3.1.2</t>
  </si>
  <si>
    <t>3.1.3</t>
  </si>
  <si>
    <t>4.1.1</t>
  </si>
  <si>
    <t>4.1.2</t>
  </si>
  <si>
    <t>4.1.3</t>
  </si>
  <si>
    <t>5.1.1</t>
  </si>
  <si>
    <t>5.1.2</t>
  </si>
  <si>
    <t>5.1.3</t>
  </si>
  <si>
    <t>5.2.1</t>
  </si>
  <si>
    <t>5.2.3</t>
  </si>
  <si>
    <t>5.2.4</t>
  </si>
  <si>
    <t>valor total do item 5.2</t>
  </si>
  <si>
    <t>valor total do item 5.1</t>
  </si>
  <si>
    <t>1.0 CANTEIRO</t>
  </si>
  <si>
    <t>2.2.1</t>
  </si>
  <si>
    <t>2.2.2</t>
  </si>
  <si>
    <t>2.2.3</t>
  </si>
  <si>
    <t>2.2.4</t>
  </si>
  <si>
    <t>valor total do item 2.2</t>
  </si>
  <si>
    <t>valor total do item 2.1</t>
  </si>
  <si>
    <t>5.0 RUA LUIZ THOMAZ DE LIMA</t>
  </si>
  <si>
    <t xml:space="preserve">Conforme medidas constantes nas hachuras do projeto, indicando recapeamento - área de intervenção </t>
  </si>
  <si>
    <t>Referência: CDHU 190 SD, DER jun/2022</t>
  </si>
  <si>
    <t>5.2.2</t>
  </si>
  <si>
    <t xml:space="preserve">Conforme detalhes de sinalização vertical = 2 placas de 0,30 m de base e 0,60 m de altura </t>
  </si>
  <si>
    <t>valor total do item 4.1</t>
  </si>
  <si>
    <t>Conforme medidas constantes nas hachuras do projeto, indicando recapeamento = 2.684,80 m²</t>
  </si>
  <si>
    <t>Conforme padrão de medidas do convênio = base = 3,5 m x altura = 1,50 m</t>
  </si>
  <si>
    <t>Título: CRONOGRAMA FINANCEIRO</t>
  </si>
  <si>
    <t>Agente: Prefeitura Municipal de Potim</t>
  </si>
  <si>
    <t>CÓDIGO</t>
  </si>
  <si>
    <t>DESCRIÇÃO</t>
  </si>
  <si>
    <t>2.0</t>
  </si>
  <si>
    <t>3.0</t>
  </si>
  <si>
    <t>4.0</t>
  </si>
  <si>
    <t>5.0</t>
  </si>
  <si>
    <t>TOTAL GERAL</t>
  </si>
  <si>
    <t>Conforme medidas constantes nas hachuras do projeto, indicando (recapeamento x espessura do pavimento e=5,5cm) = 2.694,80 + 4.141,04 m² x 0,05 m</t>
  </si>
  <si>
    <t xml:space="preserve">TOTAL GERAL DA OBRA </t>
  </si>
  <si>
    <t>Local: Rua Caiçara, Rua José Antunes de Carvalho, Travessa José Antunes de Carvalho, Rua Luiz Thomaz Lima</t>
  </si>
  <si>
    <t>Conforme períodos estimados para execução da obra e cronograma físico financeiro = 01 unidade x 02 meses</t>
  </si>
  <si>
    <t>2.0 RUA CAIÇARA</t>
  </si>
  <si>
    <t>3.0 RUA JOSÉ ANTUNES DE CARVALHO</t>
  </si>
  <si>
    <t>valor total do item 3.1</t>
  </si>
  <si>
    <t>Somente nos trechos em que o pavimento receberá tratamento, conforme áreas indicas na hachura em vermelho no projeto = 386,25 M2</t>
  </si>
  <si>
    <t xml:space="preserve">Trecho dos fundos e de frente as casas - Estacas E2 e E3 = (29,35 + 12,10)x0,30x0,11 = </t>
  </si>
  <si>
    <t xml:space="preserve">Somente nos trechos em que o pavimento receberá tratamento, conforme áreas indicas na hachura em vermelho no projeto = 386,25 m² x 0,3 m de base pós abertura de caixa </t>
  </si>
  <si>
    <t>Conforme medidas constantes nas hachuras do projeto, indicando (recapeamento x espessura do pavimento e=5cm) = 386,25 m² x 0,05 m (5 cm)</t>
  </si>
  <si>
    <t>Conforme medidas constantes nas hachuras do projeto, indicando recapeamento / pavimentação desta rua = 386,25m²</t>
  </si>
  <si>
    <t>Somente nos trechos em que o pavimento receberá tratamento, conforme áreas indicas na hachura em vermelho no projeto = 386,25 m²</t>
  </si>
  <si>
    <t xml:space="preserve">Conforme detalhes de sinalização vertical = 01 brocas de 0,50 metros para 01 colunas metálicas (faixas) </t>
  </si>
  <si>
    <t>Conforme detalhe de faixas de pedestres = ((4,50 m faixa de retenção x 0,30 m espessura) + (8 faixas com 5,00 m comprimento x 0,30 espessura) x 01 pontos de instalação)</t>
  </si>
  <si>
    <t>Conforme detalhes de sinalização vertical = 01 colunas metálicas para placas de advertencia A 32b</t>
  </si>
  <si>
    <t>Conforme detalhes de sinalização vertical = 1 placas de 0,30 m de base e 0,60 m de altura A32b</t>
  </si>
  <si>
    <t>Conforme medidas constantes nas hachuras do projeto, indicando (recapeamento x espessura do pavimento e=5,5cm) = 681,43 m² x 0,05 m</t>
  </si>
  <si>
    <t>Conforme medidas constantes nas hachuras do projeto, indicando (recapeamento x espessura do pavimento e=5,5cm) = 176,42 m² x 0,05 m</t>
  </si>
  <si>
    <t>Conforme medidas constantes nas hachuras do projeto, indicando recapeamento = 176,42 m²</t>
  </si>
  <si>
    <t>Conforme medidas constantes nas hachuras do projeto, indicando recapeamento = 681,43 m²</t>
  </si>
  <si>
    <t>4.0 TRAVESSA JOSÉ ANTUNES DE CARVALHO</t>
  </si>
  <si>
    <t>Conforme detalhe de faixas de pedestres = ((3,50 m faixa de retenção x 0,30 m espessura) + (11 faixas com 5,00 m comprimento x 0,30 espessura) x 1 pontos de instalação)</t>
  </si>
  <si>
    <t>Conforme detalhes de sinalização vertical = 2 colunas metálicas para 4 placas de advertencia A 32b</t>
  </si>
  <si>
    <t xml:space="preserve">Conforme detalhes de sinalização vertical = 2 brocas de 0,50 metros para 6 colunas metálicas </t>
  </si>
  <si>
    <t>BDI: 23,38%</t>
  </si>
  <si>
    <t>MÊS 1</t>
  </si>
  <si>
    <t>MÊS 2</t>
  </si>
  <si>
    <t>2.1.8</t>
  </si>
  <si>
    <t>Trechos dos fundos indicados no projeto - 31,54+28,35+12,10</t>
  </si>
  <si>
    <t>Conforme detalhes de sinalização vertical = 02 brocas de 0,50 metros para 02 colunas metálicas (placas)</t>
  </si>
  <si>
    <t>Conforme detalhes de sinalização vertical = 02 colunas metálicas para placas de advertencia A 32b e nome de rua</t>
  </si>
  <si>
    <t>3.1.4</t>
  </si>
  <si>
    <t>3.1.5</t>
  </si>
  <si>
    <t>Guia de travamento fim da rua = 5,60 m</t>
  </si>
  <si>
    <t>3.1.6</t>
  </si>
  <si>
    <t>3.1.7</t>
  </si>
  <si>
    <t xml:space="preserve"> Sarjetão e sarjeta  =  (0,80x4,62x0,11)+(35*0,3*0,11)</t>
  </si>
  <si>
    <t xml:space="preserve">Perímetro total + Sarjetão = [(29,35 + 12,10 + 22,90 + 46,78)x0,30x0,11] + (0,80x13,22x0,11) + (0,30x1,55x0,11) = </t>
  </si>
  <si>
    <t>3.2</t>
  </si>
  <si>
    <t>3.2.1</t>
  </si>
  <si>
    <t>3.2.2</t>
  </si>
  <si>
    <t>3.2.3</t>
  </si>
  <si>
    <t>5.0 RUA LUIZ THOMAZ DE LIMA - TRECHO 02</t>
  </si>
  <si>
    <t>Trecho onde empoça água indicado no projeto = 47,90+104,64 m²</t>
  </si>
  <si>
    <t>Trecho onde empoça água indicado no projeto = 47,90+104,64 m² x 0,30 m</t>
  </si>
  <si>
    <t>5.1.4</t>
  </si>
  <si>
    <t>5.1.5</t>
  </si>
  <si>
    <t xml:space="preserve">Conforme detalhes de sinalização vertical = 2 colunas metálicas para 2 placas de advertencia A 32b + 3 colunas para as placas de nome de rua </t>
  </si>
  <si>
    <t xml:space="preserve">Conforme detalhes de sinalização vertical = 1 placa de 0,30 m de base e 0,60 m de altura A32b + 2 placas 0,45x0,25 m identificação de rua </t>
  </si>
  <si>
    <t>Conforme detalhe de faixas de pedestres = ((3,50 m faixa de retenção x 0,30 m espessura x 2) + (11 faixas com 5,00 m comprimento x 0,30 espessura) x 2 pontos de instalação) + 4 tracejadas centrais de 0,10x1,00 no cruzamento e embocadura + faixa continua em toda extensão da rua marcada em projeto x espessura de 0,10 m</t>
  </si>
  <si>
    <t>Conforme medidas constantes em pontos que não existem guia e pontos de travamento = 20,25+17,52</t>
  </si>
  <si>
    <t>Conforme medidas constantes em pontos da rua que param água = 20,25+6,82+7,92 m x 0,30 larg. x 0,11 m altura</t>
  </si>
  <si>
    <t>Conforme medidas constantes nas hachuras do projeto, indicando (recapeamento x espessura do pavimento e=4,0cm) = 681,43 m² x 0,04 m</t>
  </si>
  <si>
    <t>Conforme medidas constantes nas hachuras do projeto, indicando (recapeamento x espessura do pavimento e=4,0cm) = 176,42 m² x 0,04 m</t>
  </si>
  <si>
    <t>Conforme medidas constantes nas hachuras do projeto, indicando (recapeamento x espessura do pavimento e=5,0cm) = 2.015,15 m² x 0,05 m</t>
  </si>
  <si>
    <t>Conforme detalhes de sinalização vertical = 4 placas de0,45 x 0,25 m para identificação das ruas e travessa</t>
  </si>
  <si>
    <t>Conforme detalhes de sinalização vertical = 2 placas de 0,30 m de base e 0,60 m de altura + 6 placas com nome de rua 0,45 x 0,25 m</t>
  </si>
  <si>
    <t>Objeto: Pavimentação, Recapeamento Asfáltico, Execução de Guias e Sarjetas de Vias do Município</t>
  </si>
  <si>
    <t>MEMÓRIA DE CÁLCULO</t>
  </si>
  <si>
    <t>Referência: CDHU 190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</si>
</sst>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0.000%"/>
    <numFmt numFmtId="168" formatCode="[$-416]General"/>
    <numFmt numFmtId="169" formatCode="#,##0.0000"/>
    <numFmt numFmtId="170" formatCode="&quot;R$&quot;#,##0.00"/>
    <numFmt numFmtId="172" formatCode="_(* #,##0.00_);_(* \(#,##0.00\);_(* &quot;-&quot;??_);_(@_)"/>
    <numFmt numFmtId="173" formatCode="[$-F800]dddd\,\ mmmm\ dd\,\ yyyy"/>
    <numFmt numFmtId="174" formatCode="_(&quot;R$ &quot;* #,##0.00_);_(&quot;R$ &quot;* \(#,##0.00\);_(&quot;R$ &quot;* &quot;-&quot;??_);_(@_)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0"/>
      <name val="MS Sans Serif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rgb="FF000000"/>
      <name val="Calibri1"/>
      <family val="2"/>
    </font>
    <font>
      <sz val="11"/>
      <color rgb="FF000000"/>
      <name val="Calibri1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b/>
      <sz val="12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0" fontId="11" fillId="0" borderId="0">
      <alignment vertical="top"/>
    </xf>
    <xf numFmtId="0" fontId="16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5" borderId="0" applyNumberFormat="0" applyBorder="0" applyAlignment="0" applyProtection="0"/>
    <xf numFmtId="0" fontId="22" fillId="17" borderId="13" applyNumberFormat="0" applyAlignment="0" applyProtection="0"/>
    <xf numFmtId="0" fontId="23" fillId="18" borderId="14" applyNumberFormat="0" applyAlignment="0" applyProtection="0"/>
    <xf numFmtId="0" fontId="24" fillId="0" borderId="15" applyNumberFormat="0" applyFill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2" borderId="0" applyNumberFormat="0" applyBorder="0" applyAlignment="0" applyProtection="0"/>
    <xf numFmtId="0" fontId="25" fillId="8" borderId="13" applyNumberFormat="0" applyAlignment="0" applyProtection="0"/>
    <xf numFmtId="0" fontId="26" fillId="4" borderId="0" applyNumberFormat="0" applyBorder="0" applyAlignment="0" applyProtection="0"/>
    <xf numFmtId="0" fontId="27" fillId="23" borderId="0" applyNumberFormat="0" applyBorder="0" applyAlignment="0" applyProtection="0"/>
    <xf numFmtId="0" fontId="1" fillId="0" borderId="0"/>
    <xf numFmtId="0" fontId="19" fillId="24" borderId="16" applyNumberFormat="0" applyFont="0" applyAlignment="0" applyProtection="0"/>
    <xf numFmtId="0" fontId="28" fillId="17" borderId="17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8" applyNumberFormat="0" applyFill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4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5" borderId="0" applyNumberFormat="0" applyBorder="0" applyAlignment="0" applyProtection="0"/>
    <xf numFmtId="0" fontId="22" fillId="17" borderId="13" applyNumberFormat="0" applyAlignment="0" applyProtection="0"/>
    <xf numFmtId="0" fontId="23" fillId="18" borderId="14" applyNumberFormat="0" applyAlignment="0" applyProtection="0"/>
    <xf numFmtId="0" fontId="24" fillId="0" borderId="15" applyNumberFormat="0" applyFill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2" borderId="0" applyNumberFormat="0" applyBorder="0" applyAlignment="0" applyProtection="0"/>
    <xf numFmtId="0" fontId="25" fillId="8" borderId="13" applyNumberFormat="0" applyAlignment="0" applyProtection="0"/>
    <xf numFmtId="168" fontId="35" fillId="0" borderId="0"/>
    <xf numFmtId="168" fontId="36" fillId="0" borderId="0"/>
    <xf numFmtId="0" fontId="26" fillId="4" borderId="0" applyNumberFormat="0" applyBorder="0" applyAlignment="0" applyProtection="0"/>
    <xf numFmtId="0" fontId="27" fillId="23" borderId="0" applyNumberFormat="0" applyBorder="0" applyAlignment="0" applyProtection="0"/>
    <xf numFmtId="0" fontId="17" fillId="0" borderId="0"/>
    <xf numFmtId="0" fontId="16" fillId="0" borderId="0"/>
    <xf numFmtId="0" fontId="19" fillId="24" borderId="16" applyNumberFormat="0" applyFont="0" applyAlignment="0" applyProtection="0"/>
    <xf numFmtId="0" fontId="28" fillId="17" borderId="17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18" applyNumberFormat="0" applyFill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21" applyNumberFormat="0" applyFill="0" applyAlignment="0" applyProtection="0"/>
    <xf numFmtId="43" fontId="17" fillId="0" borderId="0" applyFont="0" applyFill="0" applyBorder="0" applyAlignment="0" applyProtection="0"/>
    <xf numFmtId="0" fontId="22" fillId="17" borderId="23" applyNumberFormat="0" applyAlignment="0" applyProtection="0"/>
    <xf numFmtId="0" fontId="25" fillId="8" borderId="23" applyNumberFormat="0" applyAlignment="0" applyProtection="0"/>
    <xf numFmtId="0" fontId="19" fillId="24" borderId="24" applyNumberFormat="0" applyFont="0" applyAlignment="0" applyProtection="0"/>
    <xf numFmtId="0" fontId="22" fillId="17" borderId="23" applyNumberFormat="0" applyAlignment="0" applyProtection="0"/>
    <xf numFmtId="0" fontId="25" fillId="8" borderId="23" applyNumberFormat="0" applyAlignment="0" applyProtection="0"/>
    <xf numFmtId="0" fontId="19" fillId="24" borderId="24" applyNumberFormat="0" applyFont="0" applyAlignment="0" applyProtection="0"/>
    <xf numFmtId="164" fontId="1" fillId="0" borderId="0" applyFont="0" applyFill="0" applyBorder="0" applyAlignment="0" applyProtection="0"/>
    <xf numFmtId="0" fontId="11" fillId="0" borderId="0"/>
    <xf numFmtId="0" fontId="39" fillId="0" borderId="0"/>
    <xf numFmtId="0" fontId="40" fillId="0" borderId="0"/>
    <xf numFmtId="0" fontId="41" fillId="0" borderId="0"/>
    <xf numFmtId="0" fontId="17" fillId="0" borderId="0"/>
    <xf numFmtId="172" fontId="17" fillId="0" borderId="0" applyFont="0" applyFill="0" applyBorder="0" applyAlignment="0" applyProtection="0"/>
    <xf numFmtId="0" fontId="43" fillId="0" borderId="0"/>
    <xf numFmtId="9" fontId="43" fillId="0" borderId="0" applyFont="0" applyFill="0" applyBorder="0" applyAlignment="0" applyProtection="0"/>
    <xf numFmtId="174" fontId="43" fillId="0" borderId="0" applyFont="0" applyFill="0" applyBorder="0" applyAlignment="0" applyProtection="0"/>
  </cellStyleXfs>
  <cellXfs count="284">
    <xf numFmtId="0" fontId="0" fillId="0" borderId="0" xfId="0"/>
    <xf numFmtId="0" fontId="0" fillId="0" borderId="0" xfId="0" applyAlignment="1">
      <alignment horizontal="left" wrapText="1"/>
    </xf>
    <xf numFmtId="0" fontId="2" fillId="0" borderId="0" xfId="0" applyFont="1"/>
    <xf numFmtId="165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165" fontId="15" fillId="0" borderId="0" xfId="0" applyNumberFormat="1" applyFont="1"/>
    <xf numFmtId="4" fontId="0" fillId="0" borderId="0" xfId="0" applyNumberFormat="1"/>
    <xf numFmtId="4" fontId="2" fillId="0" borderId="0" xfId="0" applyNumberFormat="1" applyFont="1"/>
    <xf numFmtId="10" fontId="2" fillId="0" borderId="0" xfId="0" applyNumberFormat="1" applyFont="1" applyAlignment="1">
      <alignment horizontal="center"/>
    </xf>
    <xf numFmtId="165" fontId="14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10" fontId="4" fillId="0" borderId="0" xfId="2" applyNumberFormat="1" applyFont="1" applyFill="1" applyBorder="1" applyAlignment="1" applyProtection="1">
      <alignment horizontal="center"/>
    </xf>
    <xf numFmtId="164" fontId="0" fillId="0" borderId="0" xfId="102" applyFont="1" applyAlignment="1"/>
    <xf numFmtId="164" fontId="0" fillId="0" borderId="0" xfId="102" applyFont="1" applyBorder="1" applyAlignment="1"/>
    <xf numFmtId="164" fontId="2" fillId="0" borderId="0" xfId="102" applyFont="1" applyBorder="1"/>
    <xf numFmtId="4" fontId="6" fillId="2" borderId="22" xfId="0" applyNumberFormat="1" applyFont="1" applyFill="1" applyBorder="1" applyAlignment="1">
      <alignment horizontal="center" vertical="center"/>
    </xf>
    <xf numFmtId="0" fontId="6" fillId="2" borderId="22" xfId="0" applyFont="1" applyFill="1" applyBorder="1"/>
    <xf numFmtId="0" fontId="10" fillId="2" borderId="22" xfId="0" applyFont="1" applyFill="1" applyBorder="1" applyAlignment="1">
      <alignment horizontal="left" wrapText="1"/>
    </xf>
    <xf numFmtId="0" fontId="6" fillId="2" borderId="22" xfId="0" applyFont="1" applyFill="1" applyBorder="1" applyAlignment="1">
      <alignment horizontal="center" vertical="center"/>
    </xf>
    <xf numFmtId="165" fontId="6" fillId="2" borderId="22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left" vertical="center" wrapText="1"/>
    </xf>
    <xf numFmtId="165" fontId="8" fillId="2" borderId="22" xfId="102" applyNumberFormat="1" applyFont="1" applyFill="1" applyBorder="1" applyAlignment="1" applyProtection="1">
      <alignment horizontal="center" vertical="center" wrapText="1"/>
    </xf>
    <xf numFmtId="165" fontId="8" fillId="2" borderId="22" xfId="0" applyNumberFormat="1" applyFont="1" applyFill="1" applyBorder="1" applyAlignment="1">
      <alignment horizontal="center" vertical="center" wrapText="1"/>
    </xf>
    <xf numFmtId="10" fontId="8" fillId="0" borderId="0" xfId="0" applyNumberFormat="1" applyFont="1" applyAlignment="1">
      <alignment horizontal="center" vertical="center" wrapText="1"/>
    </xf>
    <xf numFmtId="0" fontId="37" fillId="2" borderId="0" xfId="0" applyFont="1" applyFill="1" applyAlignment="1">
      <alignment vertical="center"/>
    </xf>
    <xf numFmtId="0" fontId="5" fillId="2" borderId="22" xfId="0" applyFont="1" applyFill="1" applyBorder="1" applyAlignment="1">
      <alignment horizontal="center" wrapText="1"/>
    </xf>
    <xf numFmtId="0" fontId="7" fillId="2" borderId="22" xfId="0" applyFont="1" applyFill="1" applyBorder="1" applyAlignment="1">
      <alignment horizontal="left" wrapText="1"/>
    </xf>
    <xf numFmtId="4" fontId="4" fillId="2" borderId="22" xfId="0" applyNumberFormat="1" applyFont="1" applyFill="1" applyBorder="1" applyAlignment="1">
      <alignment horizontal="center" wrapText="1"/>
    </xf>
    <xf numFmtId="164" fontId="4" fillId="2" borderId="22" xfId="102" applyFont="1" applyFill="1" applyBorder="1" applyAlignment="1" applyProtection="1">
      <alignment horizontal="center" wrapText="1"/>
    </xf>
    <xf numFmtId="0" fontId="12" fillId="2" borderId="22" xfId="0" applyFont="1" applyFill="1" applyBorder="1" applyAlignment="1">
      <alignment horizontal="center" wrapText="1"/>
    </xf>
    <xf numFmtId="0" fontId="8" fillId="2" borderId="25" xfId="0" applyFont="1" applyFill="1" applyBorder="1" applyAlignment="1">
      <alignment horizontal="center" vertical="center"/>
    </xf>
    <xf numFmtId="165" fontId="8" fillId="2" borderId="26" xfId="0" applyNumberFormat="1" applyFont="1" applyFill="1" applyBorder="1" applyAlignment="1">
      <alignment horizontal="center" vertical="center" wrapText="1"/>
    </xf>
    <xf numFmtId="165" fontId="9" fillId="2" borderId="26" xfId="0" applyNumberFormat="1" applyFont="1" applyFill="1" applyBorder="1"/>
    <xf numFmtId="0" fontId="3" fillId="2" borderId="0" xfId="0" applyFont="1" applyFill="1" applyAlignment="1">
      <alignment vertical="center"/>
    </xf>
    <xf numFmtId="10" fontId="4" fillId="0" borderId="0" xfId="0" applyNumberFormat="1" applyFont="1" applyAlignment="1">
      <alignment horizontal="center" wrapText="1"/>
    </xf>
    <xf numFmtId="0" fontId="37" fillId="2" borderId="0" xfId="0" applyFont="1" applyFill="1" applyAlignment="1">
      <alignment horizontal="left" vertical="center"/>
    </xf>
    <xf numFmtId="164" fontId="37" fillId="2" borderId="4" xfId="102" applyFont="1" applyFill="1" applyBorder="1" applyAlignment="1">
      <alignment horizontal="left" vertical="center"/>
    </xf>
    <xf numFmtId="165" fontId="8" fillId="2" borderId="0" xfId="102" applyNumberFormat="1" applyFont="1" applyFill="1" applyBorder="1" applyAlignment="1" applyProtection="1">
      <alignment horizontal="center" vertical="center" wrapText="1"/>
    </xf>
    <xf numFmtId="169" fontId="0" fillId="0" borderId="0" xfId="0" applyNumberFormat="1"/>
    <xf numFmtId="0" fontId="37" fillId="2" borderId="2" xfId="0" applyFont="1" applyFill="1" applyBorder="1" applyAlignment="1">
      <alignment vertical="center"/>
    </xf>
    <xf numFmtId="170" fontId="37" fillId="2" borderId="4" xfId="0" applyNumberFormat="1" applyFont="1" applyFill="1" applyBorder="1" applyAlignment="1">
      <alignment horizontal="left" vertical="center"/>
    </xf>
    <xf numFmtId="170" fontId="4" fillId="2" borderId="22" xfId="0" applyNumberFormat="1" applyFont="1" applyFill="1" applyBorder="1" applyAlignment="1">
      <alignment horizontal="center" wrapText="1"/>
    </xf>
    <xf numFmtId="170" fontId="6" fillId="2" borderId="22" xfId="0" applyNumberFormat="1" applyFont="1" applyFill="1" applyBorder="1" applyAlignment="1">
      <alignment horizontal="center" vertical="center"/>
    </xf>
    <xf numFmtId="170" fontId="6" fillId="2" borderId="0" xfId="0" applyNumberFormat="1" applyFont="1" applyFill="1" applyAlignment="1">
      <alignment horizontal="center" vertical="center"/>
    </xf>
    <xf numFmtId="170" fontId="0" fillId="0" borderId="0" xfId="0" applyNumberFormat="1"/>
    <xf numFmtId="170" fontId="2" fillId="0" borderId="0" xfId="0" applyNumberFormat="1" applyFont="1"/>
    <xf numFmtId="4" fontId="8" fillId="2" borderId="2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5" fontId="8" fillId="2" borderId="33" xfId="0" applyNumberFormat="1" applyFont="1" applyFill="1" applyBorder="1" applyAlignment="1">
      <alignment horizontal="center" vertical="center" wrapText="1"/>
    </xf>
    <xf numFmtId="2" fontId="6" fillId="2" borderId="22" xfId="0" applyNumberFormat="1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/>
    </xf>
    <xf numFmtId="2" fontId="6" fillId="2" borderId="22" xfId="0" applyNumberFormat="1" applyFont="1" applyFill="1" applyBorder="1"/>
    <xf numFmtId="164" fontId="6" fillId="2" borderId="22" xfId="102" applyFont="1" applyFill="1" applyBorder="1" applyAlignment="1"/>
    <xf numFmtId="2" fontId="4" fillId="0" borderId="0" xfId="0" applyNumberFormat="1" applyFont="1" applyAlignment="1">
      <alignment horizontal="center" wrapText="1"/>
    </xf>
    <xf numFmtId="49" fontId="0" fillId="0" borderId="37" xfId="0" applyNumberFormat="1" applyBorder="1" applyAlignment="1">
      <alignment horizontal="left" vertical="center"/>
    </xf>
    <xf numFmtId="0" fontId="37" fillId="2" borderId="2" xfId="0" applyFont="1" applyFill="1" applyBorder="1" applyAlignment="1">
      <alignment horizontal="left" vertical="center"/>
    </xf>
    <xf numFmtId="0" fontId="37" fillId="2" borderId="4" xfId="0" applyFont="1" applyFill="1" applyBorder="1" applyAlignment="1">
      <alignment horizontal="left" vertical="center"/>
    </xf>
    <xf numFmtId="0" fontId="37" fillId="2" borderId="5" xfId="0" applyFont="1" applyFill="1" applyBorder="1" applyAlignment="1">
      <alignment horizontal="left" vertical="center"/>
    </xf>
    <xf numFmtId="0" fontId="8" fillId="2" borderId="22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 vertical="center" wrapText="1"/>
    </xf>
    <xf numFmtId="165" fontId="4" fillId="0" borderId="0" xfId="0" applyNumberFormat="1" applyFont="1"/>
    <xf numFmtId="165" fontId="15" fillId="2" borderId="26" xfId="0" applyNumberFormat="1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left" wrapText="1"/>
    </xf>
    <xf numFmtId="0" fontId="6" fillId="2" borderId="22" xfId="0" applyFont="1" applyFill="1" applyBorder="1" applyAlignment="1">
      <alignment horizontal="center" wrapText="1"/>
    </xf>
    <xf numFmtId="164" fontId="9" fillId="0" borderId="27" xfId="102" applyFont="1" applyBorder="1" applyAlignment="1">
      <alignment horizontal="center" wrapText="1"/>
    </xf>
    <xf numFmtId="10" fontId="4" fillId="0" borderId="22" xfId="2" applyNumberFormat="1" applyFont="1" applyBorder="1" applyAlignment="1" applyProtection="1">
      <alignment horizontal="center" vertical="center" wrapText="1"/>
    </xf>
    <xf numFmtId="4" fontId="4" fillId="2" borderId="25" xfId="0" applyNumberFormat="1" applyFont="1" applyFill="1" applyBorder="1" applyAlignment="1">
      <alignment horizontal="right"/>
    </xf>
    <xf numFmtId="4" fontId="4" fillId="2" borderId="22" xfId="0" applyNumberFormat="1" applyFont="1" applyFill="1" applyBorder="1" applyAlignment="1">
      <alignment horizontal="right"/>
    </xf>
    <xf numFmtId="170" fontId="4" fillId="2" borderId="22" xfId="0" applyNumberFormat="1" applyFont="1" applyFill="1" applyBorder="1" applyAlignment="1">
      <alignment horizontal="right"/>
    </xf>
    <xf numFmtId="2" fontId="4" fillId="2" borderId="22" xfId="0" applyNumberFormat="1" applyFont="1" applyFill="1" applyBorder="1"/>
    <xf numFmtId="165" fontId="4" fillId="0" borderId="0" xfId="1" applyNumberFormat="1" applyFont="1" applyBorder="1" applyAlignment="1" applyProtection="1">
      <alignment horizontal="center" vertical="center" wrapText="1"/>
    </xf>
    <xf numFmtId="166" fontId="4" fillId="0" borderId="0" xfId="2" applyNumberFormat="1" applyFont="1" applyBorder="1" applyAlignment="1" applyProtection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left" wrapText="1"/>
    </xf>
    <xf numFmtId="4" fontId="6" fillId="2" borderId="0" xfId="0" applyNumberFormat="1" applyFont="1" applyFill="1" applyAlignment="1">
      <alignment horizontal="center" vertical="center"/>
    </xf>
    <xf numFmtId="165" fontId="8" fillId="2" borderId="42" xfId="0" applyNumberFormat="1" applyFont="1" applyFill="1" applyBorder="1" applyAlignment="1">
      <alignment horizontal="center" vertical="center" wrapText="1"/>
    </xf>
    <xf numFmtId="165" fontId="9" fillId="2" borderId="42" xfId="0" applyNumberFormat="1" applyFont="1" applyFill="1" applyBorder="1"/>
    <xf numFmtId="165" fontId="9" fillId="2" borderId="41" xfId="0" applyNumberFormat="1" applyFont="1" applyFill="1" applyBorder="1"/>
    <xf numFmtId="0" fontId="6" fillId="2" borderId="22" xfId="0" applyFont="1" applyFill="1" applyBorder="1" applyAlignment="1">
      <alignment horizontal="center" vertical="center" wrapText="1"/>
    </xf>
    <xf numFmtId="2" fontId="8" fillId="2" borderId="22" xfId="0" applyNumberFormat="1" applyFont="1" applyFill="1" applyBorder="1" applyAlignment="1">
      <alignment horizontal="center" vertical="center"/>
    </xf>
    <xf numFmtId="165" fontId="6" fillId="2" borderId="22" xfId="0" applyNumberFormat="1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left" vertical="center" wrapText="1"/>
    </xf>
    <xf numFmtId="0" fontId="6" fillId="2" borderId="43" xfId="0" applyFont="1" applyFill="1" applyBorder="1" applyAlignment="1">
      <alignment horizontal="center" vertical="center" wrapText="1"/>
    </xf>
    <xf numFmtId="2" fontId="8" fillId="2" borderId="43" xfId="0" applyNumberFormat="1" applyFont="1" applyFill="1" applyBorder="1" applyAlignment="1">
      <alignment horizontal="center" vertical="center"/>
    </xf>
    <xf numFmtId="165" fontId="6" fillId="2" borderId="43" xfId="0" applyNumberFormat="1" applyFont="1" applyFill="1" applyBorder="1" applyAlignment="1">
      <alignment horizontal="center" vertical="center" wrapText="1"/>
    </xf>
    <xf numFmtId="165" fontId="8" fillId="2" borderId="43" xfId="102" applyNumberFormat="1" applyFont="1" applyFill="1" applyBorder="1" applyAlignment="1" applyProtection="1">
      <alignment horizontal="center" vertical="center" wrapText="1"/>
    </xf>
    <xf numFmtId="165" fontId="9" fillId="2" borderId="3" xfId="0" applyNumberFormat="1" applyFont="1" applyFill="1" applyBorder="1" applyAlignment="1">
      <alignment horizontal="center"/>
    </xf>
    <xf numFmtId="4" fontId="4" fillId="2" borderId="44" xfId="0" applyNumberFormat="1" applyFont="1" applyFill="1" applyBorder="1" applyAlignment="1">
      <alignment horizontal="right"/>
    </xf>
    <xf numFmtId="4" fontId="4" fillId="2" borderId="45" xfId="0" applyNumberFormat="1" applyFont="1" applyFill="1" applyBorder="1" applyAlignment="1">
      <alignment horizontal="right"/>
    </xf>
    <xf numFmtId="4" fontId="4" fillId="2" borderId="45" xfId="0" applyNumberFormat="1" applyFont="1" applyFill="1" applyBorder="1"/>
    <xf numFmtId="0" fontId="6" fillId="2" borderId="4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 wrapText="1"/>
    </xf>
    <xf numFmtId="0" fontId="8" fillId="2" borderId="11" xfId="0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2" fontId="8" fillId="25" borderId="22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34" xfId="0" applyFont="1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right"/>
    </xf>
    <xf numFmtId="4" fontId="4" fillId="2" borderId="0" xfId="0" applyNumberFormat="1" applyFont="1" applyFill="1" applyAlignment="1">
      <alignment horizontal="right"/>
    </xf>
    <xf numFmtId="165" fontId="4" fillId="2" borderId="3" xfId="0" applyNumberFormat="1" applyFont="1" applyFill="1" applyBorder="1"/>
    <xf numFmtId="4" fontId="4" fillId="2" borderId="48" xfId="0" applyNumberFormat="1" applyFont="1" applyFill="1" applyBorder="1" applyAlignment="1">
      <alignment horizontal="right"/>
    </xf>
    <xf numFmtId="4" fontId="4" fillId="2" borderId="49" xfId="0" applyNumberFormat="1" applyFont="1" applyFill="1" applyBorder="1" applyAlignment="1">
      <alignment horizontal="right"/>
    </xf>
    <xf numFmtId="165" fontId="4" fillId="2" borderId="36" xfId="0" applyNumberFormat="1" applyFont="1" applyFill="1" applyBorder="1"/>
    <xf numFmtId="165" fontId="9" fillId="2" borderId="39" xfId="0" applyNumberFormat="1" applyFont="1" applyFill="1" applyBorder="1"/>
    <xf numFmtId="2" fontId="8" fillId="0" borderId="22" xfId="0" applyNumberFormat="1" applyFont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8" fillId="2" borderId="33" xfId="0" applyFont="1" applyFill="1" applyBorder="1" applyAlignment="1">
      <alignment vertical="center"/>
    </xf>
    <xf numFmtId="4" fontId="4" fillId="2" borderId="47" xfId="0" applyNumberFormat="1" applyFont="1" applyFill="1" applyBorder="1" applyAlignment="1">
      <alignment horizontal="right"/>
    </xf>
    <xf numFmtId="4" fontId="4" fillId="2" borderId="43" xfId="0" applyNumberFormat="1" applyFont="1" applyFill="1" applyBorder="1" applyAlignment="1">
      <alignment horizontal="right"/>
    </xf>
    <xf numFmtId="2" fontId="4" fillId="2" borderId="43" xfId="0" applyNumberFormat="1" applyFont="1" applyFill="1" applyBorder="1"/>
    <xf numFmtId="170" fontId="4" fillId="2" borderId="43" xfId="0" applyNumberFormat="1" applyFont="1" applyFill="1" applyBorder="1" applyAlignment="1">
      <alignment horizontal="right"/>
    </xf>
    <xf numFmtId="0" fontId="37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2" fontId="8" fillId="0" borderId="0" xfId="0" applyNumberFormat="1" applyFont="1" applyAlignment="1">
      <alignment horizontal="center" vertical="center"/>
    </xf>
    <xf numFmtId="0" fontId="6" fillId="2" borderId="26" xfId="0" applyFont="1" applyFill="1" applyBorder="1" applyAlignment="1">
      <alignment horizontal="center" wrapText="1"/>
    </xf>
    <xf numFmtId="4" fontId="6" fillId="2" borderId="26" xfId="0" applyNumberFormat="1" applyFont="1" applyFill="1" applyBorder="1" applyAlignment="1">
      <alignment horizontal="center" vertical="center"/>
    </xf>
    <xf numFmtId="2" fontId="8" fillId="25" borderId="26" xfId="0" applyNumberFormat="1" applyFont="1" applyFill="1" applyBorder="1" applyAlignment="1">
      <alignment horizontal="center" vertical="center"/>
    </xf>
    <xf numFmtId="0" fontId="44" fillId="0" borderId="8" xfId="109" applyFont="1" applyBorder="1"/>
    <xf numFmtId="0" fontId="44" fillId="0" borderId="0" xfId="109" applyFont="1"/>
    <xf numFmtId="0" fontId="44" fillId="0" borderId="9" xfId="109" applyFont="1" applyBorder="1"/>
    <xf numFmtId="49" fontId="42" fillId="0" borderId="6" xfId="109" applyNumberFormat="1" applyFont="1" applyBorder="1" applyAlignment="1">
      <alignment horizontal="center" vertical="center"/>
    </xf>
    <xf numFmtId="0" fontId="42" fillId="0" borderId="22" xfId="109" applyFont="1" applyBorder="1" applyAlignment="1">
      <alignment horizontal="center" vertical="center" wrapText="1"/>
    </xf>
    <xf numFmtId="49" fontId="45" fillId="0" borderId="25" xfId="109" applyNumberFormat="1" applyFont="1" applyBorder="1" applyAlignment="1">
      <alignment horizontal="center"/>
    </xf>
    <xf numFmtId="0" fontId="45" fillId="0" borderId="22" xfId="109" applyFont="1" applyBorder="1" applyAlignment="1">
      <alignment horizontal="center" vertical="center" wrapText="1"/>
    </xf>
    <xf numFmtId="0" fontId="45" fillId="0" borderId="22" xfId="109" applyFont="1" applyBorder="1" applyAlignment="1">
      <alignment horizontal="center" wrapText="1"/>
    </xf>
    <xf numFmtId="0" fontId="42" fillId="0" borderId="22" xfId="109" applyFont="1" applyBorder="1" applyAlignment="1">
      <alignment horizontal="center" wrapText="1"/>
    </xf>
    <xf numFmtId="0" fontId="44" fillId="0" borderId="2" xfId="109" applyFont="1" applyBorder="1" applyAlignment="1">
      <alignment vertical="center"/>
    </xf>
    <xf numFmtId="0" fontId="44" fillId="0" borderId="4" xfId="109" applyFont="1" applyBorder="1" applyAlignment="1">
      <alignment vertical="center"/>
    </xf>
    <xf numFmtId="174" fontId="44" fillId="0" borderId="0" xfId="109" applyNumberFormat="1" applyFont="1" applyAlignment="1">
      <alignment vertical="center"/>
    </xf>
    <xf numFmtId="0" fontId="44" fillId="0" borderId="0" xfId="109" applyFont="1" applyAlignment="1">
      <alignment vertical="center"/>
    </xf>
    <xf numFmtId="0" fontId="45" fillId="27" borderId="53" xfId="109" applyFont="1" applyFill="1" applyBorder="1" applyAlignment="1">
      <alignment horizontal="center" vertical="center" wrapText="1"/>
    </xf>
    <xf numFmtId="4" fontId="45" fillId="27" borderId="4" xfId="109" applyNumberFormat="1" applyFont="1" applyFill="1" applyBorder="1" applyAlignment="1">
      <alignment horizontal="center" vertical="center" wrapText="1"/>
    </xf>
    <xf numFmtId="0" fontId="42" fillId="0" borderId="0" xfId="109" applyFont="1"/>
    <xf numFmtId="0" fontId="47" fillId="0" borderId="0" xfId="109" applyFont="1"/>
    <xf numFmtId="49" fontId="45" fillId="0" borderId="22" xfId="109" applyNumberFormat="1" applyFont="1" applyBorder="1" applyAlignment="1">
      <alignment horizontal="center" vertical="center" wrapText="1"/>
    </xf>
    <xf numFmtId="164" fontId="42" fillId="0" borderId="26" xfId="102" applyFont="1" applyBorder="1" applyAlignment="1">
      <alignment horizontal="center"/>
    </xf>
    <xf numFmtId="164" fontId="44" fillId="0" borderId="26" xfId="102" applyFont="1" applyBorder="1"/>
    <xf numFmtId="164" fontId="42" fillId="0" borderId="5" xfId="102" applyFont="1" applyBorder="1" applyAlignment="1">
      <alignment vertical="center"/>
    </xf>
    <xf numFmtId="164" fontId="45" fillId="27" borderId="41" xfId="102" applyFont="1" applyFill="1" applyBorder="1" applyAlignment="1">
      <alignment vertical="center" wrapText="1"/>
    </xf>
    <xf numFmtId="164" fontId="44" fillId="0" borderId="0" xfId="102" applyFont="1"/>
    <xf numFmtId="44" fontId="44" fillId="0" borderId="0" xfId="109" applyNumberFormat="1" applyFont="1"/>
    <xf numFmtId="164" fontId="42" fillId="0" borderId="22" xfId="109" applyNumberFormat="1" applyFont="1" applyBorder="1" applyAlignment="1">
      <alignment horizontal="center" vertical="center"/>
    </xf>
    <xf numFmtId="164" fontId="44" fillId="0" borderId="22" xfId="109" applyNumberFormat="1" applyFont="1" applyBorder="1"/>
    <xf numFmtId="164" fontId="46" fillId="0" borderId="22" xfId="102" applyFont="1" applyBorder="1" applyAlignment="1">
      <alignment horizontal="center" vertical="center" wrapText="1"/>
    </xf>
    <xf numFmtId="164" fontId="44" fillId="0" borderId="22" xfId="109" applyNumberFormat="1" applyFont="1" applyBorder="1" applyAlignment="1">
      <alignment vertical="center"/>
    </xf>
    <xf numFmtId="164" fontId="46" fillId="0" borderId="22" xfId="102" applyFont="1" applyBorder="1" applyAlignment="1">
      <alignment horizontal="center" vertical="center"/>
    </xf>
    <xf numFmtId="164" fontId="45" fillId="0" borderId="4" xfId="111" applyNumberFormat="1" applyFont="1" applyFill="1" applyBorder="1" applyAlignment="1">
      <alignment vertical="center" wrapText="1"/>
    </xf>
    <xf numFmtId="164" fontId="45" fillId="27" borderId="4" xfId="109" applyNumberFormat="1" applyFont="1" applyFill="1" applyBorder="1" applyAlignment="1">
      <alignment horizontal="center" vertical="center" wrapText="1"/>
    </xf>
    <xf numFmtId="164" fontId="44" fillId="0" borderId="0" xfId="109" applyNumberFormat="1" applyFont="1"/>
    <xf numFmtId="164" fontId="44" fillId="0" borderId="0" xfId="109" applyNumberFormat="1" applyFont="1" applyAlignment="1">
      <alignment vertical="center"/>
    </xf>
    <xf numFmtId="164" fontId="44" fillId="0" borderId="0" xfId="109" applyNumberFormat="1" applyFont="1" applyAlignment="1">
      <alignment horizontal="left" vertical="center"/>
    </xf>
    <xf numFmtId="164" fontId="44" fillId="0" borderId="0" xfId="109" applyNumberFormat="1" applyFont="1" applyAlignment="1">
      <alignment horizontal="center"/>
    </xf>
    <xf numFmtId="173" fontId="44" fillId="0" borderId="0" xfId="109" applyNumberFormat="1" applyFont="1" applyAlignment="1">
      <alignment horizontal="left" vertical="center"/>
    </xf>
    <xf numFmtId="4" fontId="4" fillId="2" borderId="0" xfId="0" applyNumberFormat="1" applyFont="1" applyFill="1"/>
    <xf numFmtId="0" fontId="3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8" fillId="2" borderId="0" xfId="0" applyFont="1" applyFill="1" applyAlignment="1">
      <alignment vertical="center" wrapText="1"/>
    </xf>
    <xf numFmtId="10" fontId="37" fillId="2" borderId="0" xfId="2" applyNumberFormat="1" applyFont="1" applyFill="1" applyBorder="1" applyAlignment="1">
      <alignment vertical="center"/>
    </xf>
    <xf numFmtId="170" fontId="37" fillId="2" borderId="0" xfId="0" applyNumberFormat="1" applyFont="1" applyFill="1" applyAlignment="1">
      <alignment horizontal="left" vertical="center"/>
    </xf>
    <xf numFmtId="164" fontId="37" fillId="2" borderId="0" xfId="102" applyFont="1" applyFill="1" applyBorder="1" applyAlignment="1">
      <alignment horizontal="left" vertical="center"/>
    </xf>
    <xf numFmtId="0" fontId="37" fillId="2" borderId="50" xfId="0" applyFont="1" applyFill="1" applyBorder="1" applyAlignment="1">
      <alignment horizontal="left" vertical="center"/>
    </xf>
    <xf numFmtId="0" fontId="37" fillId="2" borderId="51" xfId="0" applyFont="1" applyFill="1" applyBorder="1" applyAlignment="1">
      <alignment horizontal="left" vertical="center"/>
    </xf>
    <xf numFmtId="0" fontId="48" fillId="2" borderId="5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7" fillId="2" borderId="52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33" xfId="0" applyBorder="1" applyAlignment="1">
      <alignment horizontal="center"/>
    </xf>
    <xf numFmtId="2" fontId="8" fillId="0" borderId="35" xfId="0" applyNumberFormat="1" applyFont="1" applyBorder="1" applyAlignment="1">
      <alignment horizontal="center" vertical="center"/>
    </xf>
    <xf numFmtId="2" fontId="8" fillId="0" borderId="33" xfId="0" applyNumberFormat="1" applyFont="1" applyBorder="1" applyAlignment="1">
      <alignment horizontal="center" vertical="center"/>
    </xf>
    <xf numFmtId="2" fontId="6" fillId="2" borderId="26" xfId="0" applyNumberFormat="1" applyFont="1" applyFill="1" applyBorder="1"/>
    <xf numFmtId="2" fontId="8" fillId="2" borderId="42" xfId="0" applyNumberFormat="1" applyFont="1" applyFill="1" applyBorder="1" applyAlignment="1">
      <alignment horizontal="center" vertical="center"/>
    </xf>
    <xf numFmtId="2" fontId="8" fillId="2" borderId="26" xfId="0" applyNumberFormat="1" applyFont="1" applyFill="1" applyBorder="1" applyAlignment="1">
      <alignment horizontal="center" vertical="center"/>
    </xf>
    <xf numFmtId="2" fontId="8" fillId="25" borderId="35" xfId="0" applyNumberFormat="1" applyFont="1" applyFill="1" applyBorder="1" applyAlignment="1">
      <alignment horizontal="center" vertical="center"/>
    </xf>
    <xf numFmtId="2" fontId="6" fillId="2" borderId="26" xfId="0" applyNumberFormat="1" applyFont="1" applyFill="1" applyBorder="1" applyAlignment="1">
      <alignment horizontal="center" vertical="center"/>
    </xf>
    <xf numFmtId="2" fontId="4" fillId="2" borderId="26" xfId="0" applyNumberFormat="1" applyFont="1" applyFill="1" applyBorder="1"/>
    <xf numFmtId="2" fontId="8" fillId="25" borderId="31" xfId="0" applyNumberFormat="1" applyFont="1" applyFill="1" applyBorder="1" applyAlignment="1">
      <alignment horizontal="center" vertical="center"/>
    </xf>
    <xf numFmtId="9" fontId="45" fillId="26" borderId="22" xfId="2" applyFont="1" applyFill="1" applyBorder="1" applyAlignment="1">
      <alignment horizontal="center"/>
    </xf>
    <xf numFmtId="165" fontId="9" fillId="2" borderId="36" xfId="0" applyNumberFormat="1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165" fontId="4" fillId="2" borderId="41" xfId="0" applyNumberFormat="1" applyFont="1" applyFill="1" applyBorder="1"/>
    <xf numFmtId="165" fontId="4" fillId="2" borderId="31" xfId="0" applyNumberFormat="1" applyFont="1" applyFill="1" applyBorder="1" applyAlignment="1">
      <alignment vertical="center" wrapText="1"/>
    </xf>
    <xf numFmtId="165" fontId="14" fillId="2" borderId="26" xfId="0" applyNumberFormat="1" applyFont="1" applyFill="1" applyBorder="1" applyAlignment="1">
      <alignment horizontal="center" wrapText="1"/>
    </xf>
    <xf numFmtId="165" fontId="4" fillId="2" borderId="42" xfId="0" applyNumberFormat="1" applyFont="1" applyFill="1" applyBorder="1"/>
    <xf numFmtId="165" fontId="4" fillId="2" borderId="39" xfId="0" applyNumberFormat="1" applyFont="1" applyFill="1" applyBorder="1"/>
    <xf numFmtId="165" fontId="4" fillId="2" borderId="26" xfId="0" applyNumberFormat="1" applyFont="1" applyFill="1" applyBorder="1"/>
    <xf numFmtId="165" fontId="4" fillId="2" borderId="3" xfId="0" applyNumberFormat="1" applyFont="1" applyFill="1" applyBorder="1" applyAlignment="1">
      <alignment horizontal="center"/>
    </xf>
    <xf numFmtId="165" fontId="4" fillId="2" borderId="46" xfId="0" applyNumberFormat="1" applyFont="1" applyFill="1" applyBorder="1"/>
    <xf numFmtId="165" fontId="2" fillId="0" borderId="0" xfId="0" applyNumberFormat="1" applyFont="1"/>
    <xf numFmtId="0" fontId="38" fillId="2" borderId="2" xfId="0" applyFont="1" applyFill="1" applyBorder="1" applyAlignment="1">
      <alignment horizontal="left" vertical="center" wrapText="1"/>
    </xf>
    <xf numFmtId="0" fontId="38" fillId="2" borderId="4" xfId="0" applyFont="1" applyFill="1" applyBorder="1" applyAlignment="1">
      <alignment horizontal="left" vertical="center" wrapText="1"/>
    </xf>
    <xf numFmtId="0" fontId="38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left" vertical="center"/>
    </xf>
    <xf numFmtId="0" fontId="37" fillId="2" borderId="4" xfId="0" applyFont="1" applyFill="1" applyBorder="1" applyAlignment="1">
      <alignment horizontal="left" vertical="center"/>
    </xf>
    <xf numFmtId="0" fontId="37" fillId="2" borderId="5" xfId="0" applyFont="1" applyFill="1" applyBorder="1" applyAlignment="1">
      <alignment horizontal="left" vertical="center"/>
    </xf>
    <xf numFmtId="10" fontId="37" fillId="2" borderId="4" xfId="2" applyNumberFormat="1" applyFont="1" applyFill="1" applyBorder="1" applyAlignment="1">
      <alignment horizontal="left" vertical="center"/>
    </xf>
    <xf numFmtId="10" fontId="37" fillId="2" borderId="5" xfId="2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4" fillId="0" borderId="0" xfId="1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left"/>
    </xf>
    <xf numFmtId="166" fontId="4" fillId="0" borderId="0" xfId="2" applyNumberFormat="1" applyFont="1" applyBorder="1" applyAlignment="1" applyProtection="1">
      <alignment horizontal="center" vertical="center" wrapText="1"/>
    </xf>
    <xf numFmtId="170" fontId="4" fillId="0" borderId="10" xfId="0" applyNumberFormat="1" applyFont="1" applyBorder="1" applyAlignment="1">
      <alignment horizontal="center" vertical="center" wrapText="1"/>
    </xf>
    <xf numFmtId="170" fontId="4" fillId="0" borderId="1" xfId="0" applyNumberFormat="1" applyFont="1" applyBorder="1" applyAlignment="1">
      <alignment horizontal="center" vertical="center" wrapText="1"/>
    </xf>
    <xf numFmtId="165" fontId="4" fillId="0" borderId="38" xfId="0" applyNumberFormat="1" applyFont="1" applyBorder="1" applyAlignment="1">
      <alignment horizontal="center" vertical="center" wrapText="1"/>
    </xf>
    <xf numFmtId="165" fontId="4" fillId="0" borderId="40" xfId="0" applyNumberFormat="1" applyFont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4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4" fontId="4" fillId="2" borderId="34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35" xfId="0" applyNumberFormat="1" applyFont="1" applyFill="1" applyBorder="1" applyAlignment="1">
      <alignment horizontal="center"/>
    </xf>
    <xf numFmtId="0" fontId="4" fillId="0" borderId="3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2" fontId="4" fillId="0" borderId="30" xfId="0" applyNumberFormat="1" applyFont="1" applyBorder="1" applyAlignment="1">
      <alignment horizontal="center" vertical="center" wrapText="1"/>
    </xf>
    <xf numFmtId="2" fontId="4" fillId="0" borderId="26" xfId="0" applyNumberFormat="1" applyFont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7" fillId="2" borderId="4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right"/>
    </xf>
    <xf numFmtId="4" fontId="4" fillId="2" borderId="4" xfId="0" applyNumberFormat="1" applyFont="1" applyFill="1" applyBorder="1" applyAlignment="1">
      <alignment horizontal="right"/>
    </xf>
    <xf numFmtId="2" fontId="4" fillId="0" borderId="27" xfId="0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 wrapText="1"/>
    </xf>
    <xf numFmtId="165" fontId="4" fillId="0" borderId="26" xfId="0" applyNumberFormat="1" applyFont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/>
    </xf>
    <xf numFmtId="173" fontId="2" fillId="0" borderId="0" xfId="0" applyNumberFormat="1" applyFont="1" applyAlignment="1">
      <alignment horizontal="center"/>
    </xf>
    <xf numFmtId="0" fontId="42" fillId="0" borderId="57" xfId="109" applyFont="1" applyBorder="1" applyAlignment="1">
      <alignment horizontal="center" vertical="center"/>
    </xf>
    <xf numFmtId="0" fontId="42" fillId="0" borderId="51" xfId="109" applyFont="1" applyBorder="1" applyAlignment="1">
      <alignment horizontal="center" vertical="center"/>
    </xf>
    <xf numFmtId="0" fontId="44" fillId="0" borderId="0" xfId="109" applyFont="1" applyAlignment="1">
      <alignment horizontal="center"/>
    </xf>
    <xf numFmtId="0" fontId="44" fillId="0" borderId="0" xfId="109" applyFont="1" applyAlignment="1">
      <alignment horizontal="center" vertical="center" wrapText="1"/>
    </xf>
    <xf numFmtId="0" fontId="44" fillId="0" borderId="9" xfId="109" applyFont="1" applyBorder="1" applyAlignment="1">
      <alignment horizontal="center"/>
    </xf>
    <xf numFmtId="0" fontId="44" fillId="0" borderId="6" xfId="109" applyFont="1" applyBorder="1" applyAlignment="1">
      <alignment horizontal="center"/>
    </xf>
    <xf numFmtId="0" fontId="42" fillId="0" borderId="52" xfId="109" applyFont="1" applyBorder="1" applyAlignment="1">
      <alignment horizontal="center" vertical="center"/>
    </xf>
    <xf numFmtId="0" fontId="42" fillId="0" borderId="33" xfId="109" applyFont="1" applyBorder="1" applyAlignment="1">
      <alignment horizontal="center" vertical="center"/>
    </xf>
    <xf numFmtId="0" fontId="42" fillId="0" borderId="56" xfId="109" applyFont="1" applyBorder="1" applyAlignment="1">
      <alignment horizontal="center" vertical="center"/>
    </xf>
    <xf numFmtId="0" fontId="44" fillId="0" borderId="55" xfId="109" applyFont="1" applyBorder="1" applyAlignment="1">
      <alignment horizontal="left" vertical="center" wrapText="1"/>
    </xf>
    <xf numFmtId="0" fontId="44" fillId="0" borderId="59" xfId="109" applyFont="1" applyBorder="1" applyAlignment="1">
      <alignment horizontal="left" vertical="center" wrapText="1"/>
    </xf>
    <xf numFmtId="0" fontId="44" fillId="0" borderId="54" xfId="109" applyFont="1" applyBorder="1" applyAlignment="1">
      <alignment horizontal="left" vertical="center" wrapText="1"/>
    </xf>
    <xf numFmtId="0" fontId="44" fillId="0" borderId="0" xfId="109" applyFont="1" applyAlignment="1">
      <alignment horizontal="left" vertical="center" wrapText="1"/>
    </xf>
    <xf numFmtId="0" fontId="42" fillId="0" borderId="54" xfId="109" applyFont="1" applyBorder="1" applyAlignment="1">
      <alignment horizontal="center" vertical="center"/>
    </xf>
    <xf numFmtId="0" fontId="42" fillId="0" borderId="0" xfId="109" applyFont="1" applyAlignment="1">
      <alignment horizontal="center" vertical="center"/>
    </xf>
    <xf numFmtId="173" fontId="44" fillId="0" borderId="0" xfId="109" applyNumberFormat="1" applyFont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112">
    <cellStyle name="0,0_x000d__x000a_NA_x000d__x000a_" xfId="6" xr:uid="{00000000-0005-0000-0000-000000000000}"/>
    <cellStyle name="20% - Ênfase1 2" xfId="50" xr:uid="{00000000-0005-0000-0000-000001000000}"/>
    <cellStyle name="20% - Ênfase1 3" xfId="7" xr:uid="{00000000-0005-0000-0000-000002000000}"/>
    <cellStyle name="20% - Ênfase2 2" xfId="51" xr:uid="{00000000-0005-0000-0000-000003000000}"/>
    <cellStyle name="20% - Ênfase2 3" xfId="8" xr:uid="{00000000-0005-0000-0000-000004000000}"/>
    <cellStyle name="20% - Ênfase3 2" xfId="52" xr:uid="{00000000-0005-0000-0000-000005000000}"/>
    <cellStyle name="20% - Ênfase3 3" xfId="9" xr:uid="{00000000-0005-0000-0000-000006000000}"/>
    <cellStyle name="20% - Ênfase4 2" xfId="53" xr:uid="{00000000-0005-0000-0000-000007000000}"/>
    <cellStyle name="20% - Ênfase4 3" xfId="10" xr:uid="{00000000-0005-0000-0000-000008000000}"/>
    <cellStyle name="20% - Ênfase5 2" xfId="54" xr:uid="{00000000-0005-0000-0000-000009000000}"/>
    <cellStyle name="20% - Ênfase5 3" xfId="11" xr:uid="{00000000-0005-0000-0000-00000A000000}"/>
    <cellStyle name="20% - Ênfase6 2" xfId="55" xr:uid="{00000000-0005-0000-0000-00000B000000}"/>
    <cellStyle name="20% - Ênfase6 3" xfId="12" xr:uid="{00000000-0005-0000-0000-00000C000000}"/>
    <cellStyle name="40% - Ênfase1 2" xfId="56" xr:uid="{00000000-0005-0000-0000-00000D000000}"/>
    <cellStyle name="40% - Ênfase1 3" xfId="13" xr:uid="{00000000-0005-0000-0000-00000E000000}"/>
    <cellStyle name="40% - Ênfase2 2" xfId="57" xr:uid="{00000000-0005-0000-0000-00000F000000}"/>
    <cellStyle name="40% - Ênfase2 3" xfId="14" xr:uid="{00000000-0005-0000-0000-000010000000}"/>
    <cellStyle name="40% - Ênfase3 2" xfId="58" xr:uid="{00000000-0005-0000-0000-000011000000}"/>
    <cellStyle name="40% - Ênfase3 3" xfId="15" xr:uid="{00000000-0005-0000-0000-000012000000}"/>
    <cellStyle name="40% - Ênfase4 2" xfId="59" xr:uid="{00000000-0005-0000-0000-000013000000}"/>
    <cellStyle name="40% - Ênfase4 3" xfId="16" xr:uid="{00000000-0005-0000-0000-000014000000}"/>
    <cellStyle name="40% - Ênfase5 2" xfId="60" xr:uid="{00000000-0005-0000-0000-000015000000}"/>
    <cellStyle name="40% - Ênfase5 3" xfId="17" xr:uid="{00000000-0005-0000-0000-000016000000}"/>
    <cellStyle name="40% - Ênfase6 2" xfId="61" xr:uid="{00000000-0005-0000-0000-000017000000}"/>
    <cellStyle name="40% - Ênfase6 3" xfId="18" xr:uid="{00000000-0005-0000-0000-000018000000}"/>
    <cellStyle name="60% - Ênfase1 2" xfId="62" xr:uid="{00000000-0005-0000-0000-000019000000}"/>
    <cellStyle name="60% - Ênfase1 3" xfId="19" xr:uid="{00000000-0005-0000-0000-00001A000000}"/>
    <cellStyle name="60% - Ênfase2 2" xfId="63" xr:uid="{00000000-0005-0000-0000-00001B000000}"/>
    <cellStyle name="60% - Ênfase2 3" xfId="20" xr:uid="{00000000-0005-0000-0000-00001C000000}"/>
    <cellStyle name="60% - Ênfase3 2" xfId="64" xr:uid="{00000000-0005-0000-0000-00001D000000}"/>
    <cellStyle name="60% - Ênfase3 3" xfId="21" xr:uid="{00000000-0005-0000-0000-00001E000000}"/>
    <cellStyle name="60% - Ênfase4 2" xfId="65" xr:uid="{00000000-0005-0000-0000-00001F000000}"/>
    <cellStyle name="60% - Ênfase4 3" xfId="22" xr:uid="{00000000-0005-0000-0000-000020000000}"/>
    <cellStyle name="60% - Ênfase5 2" xfId="66" xr:uid="{00000000-0005-0000-0000-000021000000}"/>
    <cellStyle name="60% - Ênfase5 3" xfId="23" xr:uid="{00000000-0005-0000-0000-000022000000}"/>
    <cellStyle name="60% - Ênfase6 2" xfId="67" xr:uid="{00000000-0005-0000-0000-000023000000}"/>
    <cellStyle name="60% - Ênfase6 3" xfId="24" xr:uid="{00000000-0005-0000-0000-000024000000}"/>
    <cellStyle name="Bom 2" xfId="68" xr:uid="{00000000-0005-0000-0000-000025000000}"/>
    <cellStyle name="Bom 3" xfId="25" xr:uid="{00000000-0005-0000-0000-000026000000}"/>
    <cellStyle name="Cálculo 2" xfId="69" xr:uid="{00000000-0005-0000-0000-000027000000}"/>
    <cellStyle name="Cálculo 2 2" xfId="99" xr:uid="{00000000-0005-0000-0000-000028000000}"/>
    <cellStyle name="Cálculo 3" xfId="26" xr:uid="{00000000-0005-0000-0000-000029000000}"/>
    <cellStyle name="Cálculo 4" xfId="96" xr:uid="{00000000-0005-0000-0000-00002A000000}"/>
    <cellStyle name="Célula de Verificação 2" xfId="70" xr:uid="{00000000-0005-0000-0000-00002B000000}"/>
    <cellStyle name="Célula de Verificação 3" xfId="27" xr:uid="{00000000-0005-0000-0000-00002C000000}"/>
    <cellStyle name="Célula Vinculada 2" xfId="71" xr:uid="{00000000-0005-0000-0000-00002D000000}"/>
    <cellStyle name="Célula Vinculada 3" xfId="28" xr:uid="{00000000-0005-0000-0000-00002E000000}"/>
    <cellStyle name="Ênfase1 2" xfId="72" xr:uid="{00000000-0005-0000-0000-00002F000000}"/>
    <cellStyle name="Ênfase1 3" xfId="29" xr:uid="{00000000-0005-0000-0000-000030000000}"/>
    <cellStyle name="Ênfase2 2" xfId="73" xr:uid="{00000000-0005-0000-0000-000031000000}"/>
    <cellStyle name="Ênfase2 3" xfId="30" xr:uid="{00000000-0005-0000-0000-000032000000}"/>
    <cellStyle name="Ênfase3 2" xfId="74" xr:uid="{00000000-0005-0000-0000-000033000000}"/>
    <cellStyle name="Ênfase3 3" xfId="31" xr:uid="{00000000-0005-0000-0000-000034000000}"/>
    <cellStyle name="Ênfase4 2" xfId="75" xr:uid="{00000000-0005-0000-0000-000035000000}"/>
    <cellStyle name="Ênfase4 3" xfId="32" xr:uid="{00000000-0005-0000-0000-000036000000}"/>
    <cellStyle name="Ênfase5 2" xfId="76" xr:uid="{00000000-0005-0000-0000-000037000000}"/>
    <cellStyle name="Ênfase5 3" xfId="33" xr:uid="{00000000-0005-0000-0000-000038000000}"/>
    <cellStyle name="Ênfase6 2" xfId="77" xr:uid="{00000000-0005-0000-0000-000039000000}"/>
    <cellStyle name="Ênfase6 3" xfId="34" xr:uid="{00000000-0005-0000-0000-00003A000000}"/>
    <cellStyle name="Entrada 2" xfId="78" xr:uid="{00000000-0005-0000-0000-00003B000000}"/>
    <cellStyle name="Entrada 2 2" xfId="100" xr:uid="{00000000-0005-0000-0000-00003C000000}"/>
    <cellStyle name="Entrada 3" xfId="35" xr:uid="{00000000-0005-0000-0000-00003D000000}"/>
    <cellStyle name="Entrada 4" xfId="97" xr:uid="{00000000-0005-0000-0000-00003E000000}"/>
    <cellStyle name="Excel Built-in Normal" xfId="79" xr:uid="{00000000-0005-0000-0000-00003F000000}"/>
    <cellStyle name="Excel Built-in Normal 1" xfId="80" xr:uid="{00000000-0005-0000-0000-000040000000}"/>
    <cellStyle name="Incorreto 2" xfId="81" xr:uid="{00000000-0005-0000-0000-000041000000}"/>
    <cellStyle name="Incorreto 3" xfId="36" xr:uid="{00000000-0005-0000-0000-000042000000}"/>
    <cellStyle name="Moeda" xfId="102" builtinId="4"/>
    <cellStyle name="Moeda 2" xfId="111" xr:uid="{BD17C69B-8BC1-4790-801F-8417D4DCD7B5}"/>
    <cellStyle name="Neutra 2" xfId="82" xr:uid="{00000000-0005-0000-0000-000044000000}"/>
    <cellStyle name="Neutra 3" xfId="37" xr:uid="{00000000-0005-0000-0000-000045000000}"/>
    <cellStyle name="Normal" xfId="0" builtinId="0"/>
    <cellStyle name="Normal 10" xfId="109" xr:uid="{8241EC09-F4F1-47D1-BD4A-877B3E9B7736}"/>
    <cellStyle name="Normal 2" xfId="3" xr:uid="{00000000-0005-0000-0000-000047000000}"/>
    <cellStyle name="Normal 2 2" xfId="83" xr:uid="{00000000-0005-0000-0000-000048000000}"/>
    <cellStyle name="Normal 2 3" xfId="49" xr:uid="{00000000-0005-0000-0000-000049000000}"/>
    <cellStyle name="Normal 3" xfId="84" xr:uid="{00000000-0005-0000-0000-00004A000000}"/>
    <cellStyle name="Normal 3 2" xfId="107" xr:uid="{00000000-0005-0000-0000-00004B000000}"/>
    <cellStyle name="Normal 4" xfId="38" xr:uid="{00000000-0005-0000-0000-00004C000000}"/>
    <cellStyle name="Normal 5" xfId="5" xr:uid="{00000000-0005-0000-0000-00004D000000}"/>
    <cellStyle name="Normal 6" xfId="103" xr:uid="{00000000-0005-0000-0000-00004E000000}"/>
    <cellStyle name="Normal 7" xfId="104" xr:uid="{00000000-0005-0000-0000-00004F000000}"/>
    <cellStyle name="Normal 8" xfId="105" xr:uid="{00000000-0005-0000-0000-000050000000}"/>
    <cellStyle name="Normal 9" xfId="106" xr:uid="{00000000-0005-0000-0000-000051000000}"/>
    <cellStyle name="Nota 2" xfId="85" xr:uid="{00000000-0005-0000-0000-000052000000}"/>
    <cellStyle name="Nota 2 2" xfId="101" xr:uid="{00000000-0005-0000-0000-000053000000}"/>
    <cellStyle name="Nota 3" xfId="39" xr:uid="{00000000-0005-0000-0000-000054000000}"/>
    <cellStyle name="Nota 4" xfId="98" xr:uid="{00000000-0005-0000-0000-000055000000}"/>
    <cellStyle name="Porcentagem" xfId="2" builtinId="5"/>
    <cellStyle name="Porcentagem 2" xfId="110" xr:uid="{002DC550-D968-4151-BB76-650283919117}"/>
    <cellStyle name="Saída 2" xfId="86" xr:uid="{00000000-0005-0000-0000-000057000000}"/>
    <cellStyle name="Saída 3" xfId="40" xr:uid="{00000000-0005-0000-0000-000058000000}"/>
    <cellStyle name="Texto de Aviso 2" xfId="87" xr:uid="{00000000-0005-0000-0000-000059000000}"/>
    <cellStyle name="Texto de Aviso 3" xfId="41" xr:uid="{00000000-0005-0000-0000-00005A000000}"/>
    <cellStyle name="Texto Explicativo 2" xfId="88" xr:uid="{00000000-0005-0000-0000-00005B000000}"/>
    <cellStyle name="Texto Explicativo 3" xfId="42" xr:uid="{00000000-0005-0000-0000-00005C000000}"/>
    <cellStyle name="Título 1 2" xfId="89" xr:uid="{00000000-0005-0000-0000-00005D000000}"/>
    <cellStyle name="Título 1 3" xfId="44" xr:uid="{00000000-0005-0000-0000-00005E000000}"/>
    <cellStyle name="Título 2 2" xfId="90" xr:uid="{00000000-0005-0000-0000-00005F000000}"/>
    <cellStyle name="Título 2 3" xfId="45" xr:uid="{00000000-0005-0000-0000-000060000000}"/>
    <cellStyle name="Título 3 2" xfId="91" xr:uid="{00000000-0005-0000-0000-000061000000}"/>
    <cellStyle name="Título 3 3" xfId="46" xr:uid="{00000000-0005-0000-0000-000062000000}"/>
    <cellStyle name="Título 4 2" xfId="92" xr:uid="{00000000-0005-0000-0000-000063000000}"/>
    <cellStyle name="Título 4 3" xfId="47" xr:uid="{00000000-0005-0000-0000-000064000000}"/>
    <cellStyle name="Título 5" xfId="93" xr:uid="{00000000-0005-0000-0000-000065000000}"/>
    <cellStyle name="Título 6" xfId="43" xr:uid="{00000000-0005-0000-0000-000066000000}"/>
    <cellStyle name="Total 2" xfId="94" xr:uid="{00000000-0005-0000-0000-000067000000}"/>
    <cellStyle name="Total 3" xfId="48" xr:uid="{00000000-0005-0000-0000-000068000000}"/>
    <cellStyle name="Vírgula" xfId="1" builtinId="3"/>
    <cellStyle name="Vírgula 2" xfId="4" xr:uid="{00000000-0005-0000-0000-00006A000000}"/>
    <cellStyle name="Vírgula 2 2" xfId="95" xr:uid="{00000000-0005-0000-0000-00006B000000}"/>
    <cellStyle name="Vírgula 2 3" xfId="108" xr:uid="{00000000-0005-0000-0000-00006C000000}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104</xdr:row>
      <xdr:rowOff>46398</xdr:rowOff>
    </xdr:from>
    <xdr:to>
      <xdr:col>3</xdr:col>
      <xdr:colOff>1065389</xdr:colOff>
      <xdr:row>110</xdr:row>
      <xdr:rowOff>88731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24127009"/>
          <a:ext cx="3055056" cy="1143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_________________________________</a:t>
          </a:r>
        </a:p>
        <a:p>
          <a:pPr algn="ctr">
            <a:lnSpc>
              <a:spcPts val="1300"/>
            </a:lnSpc>
          </a:pPr>
          <a:r>
            <a:rPr lang="pt-BR" sz="1000">
              <a:latin typeface="Arial" panose="020B0604020202020204" pitchFamily="34" charset="0"/>
              <a:cs typeface="Arial" panose="020B0604020202020204" pitchFamily="34" charset="0"/>
            </a:rPr>
            <a:t>Gabriel Emboaba de Souza Batista</a:t>
          </a:r>
        </a:p>
        <a:p>
          <a:pPr algn="ctr">
            <a:lnSpc>
              <a:spcPts val="1300"/>
            </a:lnSpc>
          </a:pPr>
          <a: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  <a:t>Resp. Técnico Fiscalização</a:t>
          </a:r>
        </a:p>
        <a:p>
          <a:pPr algn="ctr">
            <a:lnSpc>
              <a:spcPts val="1300"/>
            </a:lnSpc>
          </a:pPr>
          <a: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  <a:t>Eng. Civil e Seg. do Trabalho - CREA 5070641580</a:t>
          </a:r>
        </a:p>
        <a:p>
          <a:pPr algn="ctr"/>
          <a:r>
            <a:rPr lang="pt-BR" sz="800" baseline="0">
              <a:latin typeface="Arial" panose="020B0604020202020204" pitchFamily="34" charset="0"/>
              <a:cs typeface="Arial" panose="020B0604020202020204" pitchFamily="34" charset="0"/>
            </a:rPr>
            <a:t>Secretário Adjunto de Planejamento Urbano</a:t>
          </a:r>
          <a:b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aseline="0">
              <a:latin typeface="Arial" panose="020B0604020202020204" pitchFamily="34" charset="0"/>
              <a:cs typeface="Arial" panose="020B0604020202020204" pitchFamily="34" charset="0"/>
            </a:rPr>
            <a:t>ART: </a:t>
          </a:r>
          <a:r>
            <a:rPr lang="pt-BR" sz="9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28027230231560728</a:t>
          </a:r>
          <a:endParaRPr lang="pt-BR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162630</xdr:colOff>
      <xdr:row>112</xdr:row>
      <xdr:rowOff>677</xdr:rowOff>
    </xdr:from>
    <xdr:to>
      <xdr:col>3</xdr:col>
      <xdr:colOff>2643748</xdr:colOff>
      <xdr:row>116</xdr:row>
      <xdr:rowOff>115984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467908" y="25922788"/>
          <a:ext cx="3165507" cy="849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____________________________</a:t>
          </a:r>
        </a:p>
        <a:p>
          <a:pPr algn="ctr"/>
          <a:r>
            <a:rPr lang="pt-BR" sz="1050">
              <a:latin typeface="Arial" panose="020B0604020202020204" pitchFamily="34" charset="0"/>
              <a:cs typeface="Arial" panose="020B0604020202020204" pitchFamily="34" charset="0"/>
            </a:rPr>
            <a:t>Erica Soler Santos de Oliveira</a:t>
          </a:r>
          <a:endParaRPr lang="pt-BR" sz="105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050" baseline="0">
              <a:latin typeface="Arial" panose="020B0604020202020204" pitchFamily="34" charset="0"/>
              <a:cs typeface="Arial" panose="020B0604020202020204" pitchFamily="34" charset="0"/>
            </a:rPr>
            <a:t>Prefeita Municipal</a:t>
          </a:r>
          <a:endParaRPr lang="pt-BR" sz="10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1155946</xdr:colOff>
      <xdr:row>104</xdr:row>
      <xdr:rowOff>35278</xdr:rowOff>
    </xdr:from>
    <xdr:to>
      <xdr:col>6</xdr:col>
      <xdr:colOff>7056</xdr:colOff>
      <xdr:row>110</xdr:row>
      <xdr:rowOff>77611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3145613" y="24115889"/>
          <a:ext cx="3204387" cy="1143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___________________________________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  <a:t>Hiancen Vieira Teixeira dos Santos</a:t>
          </a:r>
          <a:b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 Fiscalização</a:t>
          </a:r>
          <a:endParaRPr lang="pt-BR" sz="10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ts val="1200"/>
            </a:lnSpc>
          </a:pPr>
          <a: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  <a:t>Eng. Civil - CREA 5070462379</a:t>
          </a:r>
        </a:p>
        <a:p>
          <a:pPr algn="ctr"/>
          <a:r>
            <a:rPr lang="pt-BR" sz="800" baseline="0">
              <a:latin typeface="Arial" panose="020B0604020202020204" pitchFamily="34" charset="0"/>
              <a:cs typeface="Arial" panose="020B0604020202020204" pitchFamily="34" charset="0"/>
            </a:rPr>
            <a:t>Secretário de Planejamento Urbano</a:t>
          </a:r>
          <a:endParaRPr lang="pt-BR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84666</xdr:colOff>
      <xdr:row>0</xdr:row>
      <xdr:rowOff>112889</xdr:rowOff>
    </xdr:from>
    <xdr:to>
      <xdr:col>1</xdr:col>
      <xdr:colOff>232833</xdr:colOff>
      <xdr:row>0</xdr:row>
      <xdr:rowOff>713780</xdr:rowOff>
    </xdr:to>
    <xdr:pic>
      <xdr:nvPicPr>
        <xdr:cNvPr id="5" name="Imagem 7" descr="POTIM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112889"/>
          <a:ext cx="627945" cy="6008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35</xdr:row>
      <xdr:rowOff>114308</xdr:rowOff>
    </xdr:from>
    <xdr:to>
      <xdr:col>3</xdr:col>
      <xdr:colOff>2250740</xdr:colOff>
      <xdr:row>41</xdr:row>
      <xdr:rowOff>161933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523875" y="7543808"/>
          <a:ext cx="3711240" cy="1143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</a:t>
          </a:r>
        </a:p>
        <a:p>
          <a:pPr algn="ctr">
            <a:lnSpc>
              <a:spcPts val="1300"/>
            </a:lnSpc>
          </a:pPr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Gabriel Emboaba de Souza Batista</a:t>
          </a:r>
        </a:p>
        <a:p>
          <a:pPr algn="ctr">
            <a:lnSpc>
              <a:spcPts val="1300"/>
            </a:lnSpc>
          </a:pP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Resp. Técnico Fiscalização</a:t>
          </a:r>
        </a:p>
        <a:p>
          <a:pPr algn="ctr">
            <a:lnSpc>
              <a:spcPts val="1300"/>
            </a:lnSpc>
          </a:pP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Eng. Civil e Seg. do Trabalho - CREA 5070641580</a:t>
          </a:r>
        </a:p>
        <a:p>
          <a:pPr algn="ctr"/>
          <a: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  <a:t>Secretário Adjunto de Planejamento Urbano</a:t>
          </a:r>
          <a:b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50" baseline="0">
              <a:latin typeface="Arial" panose="020B0604020202020204" pitchFamily="34" charset="0"/>
              <a:cs typeface="Arial" panose="020B0604020202020204" pitchFamily="34" charset="0"/>
            </a:rPr>
            <a:t>ART: </a:t>
          </a:r>
          <a:r>
            <a:rPr lang="pt-BR" sz="105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28027230231560728</a:t>
          </a:r>
          <a:endParaRPr lang="pt-BR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854075</xdr:colOff>
      <xdr:row>46</xdr:row>
      <xdr:rowOff>13025</xdr:rowOff>
    </xdr:from>
    <xdr:to>
      <xdr:col>5</xdr:col>
      <xdr:colOff>527082</xdr:colOff>
      <xdr:row>50</xdr:row>
      <xdr:rowOff>131861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2838450" y="10514338"/>
          <a:ext cx="3165507" cy="8490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____________________________</a:t>
          </a:r>
        </a:p>
        <a:p>
          <a:pPr algn="ctr"/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Erica Soler Santos de Oliveira</a:t>
          </a:r>
          <a:endParaRPr lang="pt-BR" sz="12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200" baseline="0">
              <a:latin typeface="Arial" panose="020B0604020202020204" pitchFamily="34" charset="0"/>
              <a:cs typeface="Arial" panose="020B0604020202020204" pitchFamily="34" charset="0"/>
            </a:rPr>
            <a:t>Prefeita Municipal</a:t>
          </a:r>
          <a:endParaRPr lang="pt-BR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2821941</xdr:colOff>
      <xdr:row>35</xdr:row>
      <xdr:rowOff>95250</xdr:rowOff>
    </xdr:from>
    <xdr:to>
      <xdr:col>8</xdr:col>
      <xdr:colOff>421307</xdr:colOff>
      <xdr:row>41</xdr:row>
      <xdr:rowOff>142875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4806316" y="7524750"/>
          <a:ext cx="3703304" cy="1143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Hiancen Vieira Teixeira dos Santos</a:t>
          </a:r>
          <a:b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 Fiscalização</a:t>
          </a:r>
          <a:endParaRPr lang="pt-BR" sz="11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ts val="1200"/>
            </a:lnSpc>
          </a:pP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Eng. Civil - CREA 5070462379</a:t>
          </a:r>
        </a:p>
        <a:p>
          <a:pPr algn="ctr"/>
          <a: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  <a:t>Secretário de Planejamento Urbano</a:t>
          </a:r>
          <a:endParaRPr lang="pt-BR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0</xdr:row>
      <xdr:rowOff>82550</xdr:rowOff>
    </xdr:from>
    <xdr:to>
      <xdr:col>0</xdr:col>
      <xdr:colOff>1371600</xdr:colOff>
      <xdr:row>3</xdr:row>
      <xdr:rowOff>146050</xdr:rowOff>
    </xdr:to>
    <xdr:pic>
      <xdr:nvPicPr>
        <xdr:cNvPr id="2" name="Imagem 2" descr="POTIM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50" y="82550"/>
          <a:ext cx="1263650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209176</xdr:colOff>
      <xdr:row>20</xdr:row>
      <xdr:rowOff>52298</xdr:rowOff>
    </xdr:from>
    <xdr:to>
      <xdr:col>4</xdr:col>
      <xdr:colOff>2002117</xdr:colOff>
      <xdr:row>25</xdr:row>
      <xdr:rowOff>89650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7134411" y="6387357"/>
          <a:ext cx="3899647" cy="1142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Hiancen Vieira Teixeira dos Santos</a:t>
          </a:r>
          <a:b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 Fiscalização</a:t>
          </a:r>
          <a:endParaRPr lang="pt-BR" sz="11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ts val="1200"/>
            </a:lnSpc>
          </a:pP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Eng. Civil - CREA 5070462379</a:t>
          </a:r>
        </a:p>
        <a:p>
          <a:pPr algn="ctr"/>
          <a: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  <a:t>Secretário de Planejamento Urbano</a:t>
          </a:r>
          <a:endParaRPr lang="pt-BR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1195295</xdr:colOff>
      <xdr:row>20</xdr:row>
      <xdr:rowOff>63418</xdr:rowOff>
    </xdr:from>
    <xdr:to>
      <xdr:col>2</xdr:col>
      <xdr:colOff>625422</xdr:colOff>
      <xdr:row>25</xdr:row>
      <xdr:rowOff>100770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 txBox="1"/>
      </xdr:nvSpPr>
      <xdr:spPr>
        <a:xfrm>
          <a:off x="1195295" y="6398477"/>
          <a:ext cx="4435421" cy="1142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300"/>
            </a:lnSpc>
          </a:pPr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</a:t>
          </a:r>
        </a:p>
        <a:p>
          <a:pPr algn="ctr">
            <a:lnSpc>
              <a:spcPts val="1300"/>
            </a:lnSpc>
          </a:pPr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Gabriel Emboaba de Souza Batista</a:t>
          </a:r>
        </a:p>
        <a:p>
          <a:pPr algn="ctr">
            <a:lnSpc>
              <a:spcPts val="1300"/>
            </a:lnSpc>
          </a:pP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Resp. Técnico Fiscalização</a:t>
          </a:r>
        </a:p>
        <a:p>
          <a:pPr algn="ctr">
            <a:lnSpc>
              <a:spcPts val="1300"/>
            </a:lnSpc>
          </a:pP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Eng. Civil e Seg. do Trabalho - CREA 5070641580</a:t>
          </a:r>
        </a:p>
        <a:p>
          <a:pPr algn="ctr"/>
          <a:r>
            <a:rPr lang="pt-BR" sz="1000" baseline="0">
              <a:latin typeface="Arial" panose="020B0604020202020204" pitchFamily="34" charset="0"/>
              <a:cs typeface="Arial" panose="020B0604020202020204" pitchFamily="34" charset="0"/>
            </a:rPr>
            <a:t>Secretário Adjunto de Planejamento Urbano</a:t>
          </a:r>
          <a:b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50" baseline="0">
              <a:latin typeface="Arial" panose="020B0604020202020204" pitchFamily="34" charset="0"/>
              <a:cs typeface="Arial" panose="020B0604020202020204" pitchFamily="34" charset="0"/>
            </a:rPr>
            <a:t>ART: </a:t>
          </a:r>
          <a:r>
            <a:rPr lang="pt-BR" sz="105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28027230231560728</a:t>
          </a:r>
          <a:endParaRPr lang="pt-BR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3330109</xdr:colOff>
      <xdr:row>25</xdr:row>
      <xdr:rowOff>148434</xdr:rowOff>
    </xdr:from>
    <xdr:to>
      <xdr:col>3</xdr:col>
      <xdr:colOff>1165412</xdr:colOff>
      <xdr:row>30</xdr:row>
      <xdr:rowOff>26344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 txBox="1"/>
      </xdr:nvSpPr>
      <xdr:spPr>
        <a:xfrm>
          <a:off x="4764462" y="7589140"/>
          <a:ext cx="3326185" cy="8490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____________________________</a:t>
          </a:r>
        </a:p>
        <a:p>
          <a:pPr algn="ctr"/>
          <a:r>
            <a:rPr lang="pt-BR" sz="1200">
              <a:latin typeface="Arial" panose="020B0604020202020204" pitchFamily="34" charset="0"/>
              <a:cs typeface="Arial" panose="020B0604020202020204" pitchFamily="34" charset="0"/>
            </a:rPr>
            <a:t>Erica Soler Santos de Oliveira</a:t>
          </a:r>
          <a:endParaRPr lang="pt-BR" sz="12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200" baseline="0">
              <a:latin typeface="Arial" panose="020B0604020202020204" pitchFamily="34" charset="0"/>
              <a:cs typeface="Arial" panose="020B0604020202020204" pitchFamily="34" charset="0"/>
            </a:rPr>
            <a:t>Prefeita Municipal</a:t>
          </a:r>
          <a:endParaRPr lang="pt-BR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747058</xdr:colOff>
      <xdr:row>0</xdr:row>
      <xdr:rowOff>216649</xdr:rowOff>
    </xdr:from>
    <xdr:to>
      <xdr:col>4</xdr:col>
      <xdr:colOff>1715117</xdr:colOff>
      <xdr:row>3</xdr:row>
      <xdr:rowOff>82177</xdr:rowOff>
    </xdr:to>
    <xdr:pic>
      <xdr:nvPicPr>
        <xdr:cNvPr id="3" name="Imagem 7" descr="POTIM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8999" y="216649"/>
          <a:ext cx="968059" cy="926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4CDE3-1F98-4AED-8675-136F4D0405B3}">
  <sheetPr>
    <pageSetUpPr fitToPage="1"/>
  </sheetPr>
  <dimension ref="A1:M102"/>
  <sheetViews>
    <sheetView view="pageBreakPreview" topLeftCell="A4" zoomScale="90" zoomScaleNormal="70" zoomScaleSheetLayoutView="90" workbookViewId="0">
      <selection activeCell="A3" sqref="A3:F3"/>
    </sheetView>
  </sheetViews>
  <sheetFormatPr defaultRowHeight="14.5"/>
  <cols>
    <col min="1" max="1" width="6.81640625" style="5" customWidth="1"/>
    <col min="2" max="2" width="11.81640625" customWidth="1"/>
    <col min="3" max="3" width="9.81640625" style="5" customWidth="1"/>
    <col min="4" max="4" width="42.54296875" style="1" customWidth="1"/>
    <col min="5" max="5" width="8.81640625" style="5" bestFit="1" customWidth="1"/>
    <col min="6" max="6" width="11" style="5" bestFit="1" customWidth="1"/>
    <col min="7" max="9" width="8.81640625" customWidth="1"/>
  </cols>
  <sheetData>
    <row r="1" spans="1:13" ht="61" customHeight="1" thickBot="1">
      <c r="A1" s="210" t="s">
        <v>169</v>
      </c>
      <c r="B1" s="211"/>
      <c r="C1" s="211"/>
      <c r="D1" s="211"/>
      <c r="E1" s="211"/>
      <c r="F1" s="212"/>
      <c r="G1" s="37"/>
      <c r="H1" s="37"/>
      <c r="I1" s="37"/>
      <c r="J1" s="37"/>
      <c r="K1" s="37"/>
      <c r="M1" s="7"/>
    </row>
    <row r="2" spans="1:13" ht="21.5" thickBot="1">
      <c r="A2" s="172"/>
      <c r="B2" s="173"/>
      <c r="C2" s="173"/>
      <c r="D2" s="173"/>
      <c r="E2" s="173"/>
      <c r="F2" s="174"/>
      <c r="G2" s="37"/>
      <c r="H2" s="37"/>
      <c r="I2" s="37"/>
      <c r="J2" s="37"/>
      <c r="K2" s="37"/>
      <c r="M2" s="7"/>
    </row>
    <row r="3" spans="1:13" ht="43" customHeight="1" thickBot="1">
      <c r="A3" s="246" t="s">
        <v>168</v>
      </c>
      <c r="B3" s="247"/>
      <c r="C3" s="247"/>
      <c r="D3" s="247"/>
      <c r="E3" s="247"/>
      <c r="F3" s="248"/>
      <c r="G3" s="28"/>
      <c r="H3" s="28"/>
      <c r="I3" s="28"/>
      <c r="J3" s="28"/>
      <c r="K3" s="37"/>
      <c r="M3" s="7"/>
    </row>
    <row r="4" spans="1:13" s="129" customFormat="1" ht="33" customHeight="1" thickBot="1">
      <c r="A4" s="207" t="s">
        <v>112</v>
      </c>
      <c r="B4" s="208"/>
      <c r="C4" s="208"/>
      <c r="D4" s="208"/>
      <c r="E4" s="208"/>
      <c r="F4" s="209"/>
      <c r="G4" s="175"/>
      <c r="H4" s="175"/>
      <c r="I4" s="175"/>
      <c r="J4" s="127"/>
      <c r="K4" s="128"/>
      <c r="M4" s="130"/>
    </row>
    <row r="5" spans="1:13" ht="21.5" thickBot="1">
      <c r="A5" s="213" t="s">
        <v>95</v>
      </c>
      <c r="B5" s="214"/>
      <c r="C5" s="214"/>
      <c r="D5" s="214"/>
      <c r="E5" s="214"/>
      <c r="F5" s="215"/>
      <c r="G5" s="28"/>
      <c r="H5" s="28"/>
      <c r="I5" s="28"/>
      <c r="J5" s="28"/>
      <c r="K5" s="37"/>
      <c r="M5" s="7"/>
    </row>
    <row r="6" spans="1:13" ht="21.5" thickBot="1">
      <c r="A6" s="213" t="s">
        <v>135</v>
      </c>
      <c r="B6" s="214"/>
      <c r="C6" s="214"/>
      <c r="D6" s="214"/>
      <c r="E6" s="214"/>
      <c r="F6" s="215"/>
      <c r="G6" s="176"/>
      <c r="H6" s="176"/>
      <c r="I6" s="176"/>
      <c r="J6" s="28"/>
      <c r="K6" s="37"/>
      <c r="M6" s="7"/>
    </row>
    <row r="7" spans="1:13" ht="21.5" thickBot="1">
      <c r="A7" s="213"/>
      <c r="B7" s="214"/>
      <c r="C7" s="214"/>
      <c r="D7" s="214"/>
      <c r="E7" s="214"/>
      <c r="F7" s="215"/>
      <c r="G7" s="177"/>
      <c r="H7" s="178"/>
      <c r="I7" s="39"/>
      <c r="J7" s="39"/>
      <c r="K7" s="37"/>
      <c r="M7" s="7"/>
    </row>
    <row r="8" spans="1:13" ht="21.5" thickBot="1">
      <c r="A8" s="179"/>
      <c r="B8" s="180"/>
      <c r="C8" s="180"/>
      <c r="D8" s="181" t="s">
        <v>86</v>
      </c>
      <c r="E8" s="180"/>
      <c r="F8" s="183"/>
      <c r="G8" s="177"/>
      <c r="H8" s="178"/>
      <c r="I8" s="39"/>
      <c r="J8" s="39"/>
      <c r="K8" s="37"/>
      <c r="M8" s="7"/>
    </row>
    <row r="9" spans="1:13">
      <c r="A9" s="218" t="s">
        <v>3</v>
      </c>
      <c r="B9" s="220" t="s">
        <v>4</v>
      </c>
      <c r="C9" s="220" t="s">
        <v>0</v>
      </c>
      <c r="D9" s="222" t="s">
        <v>6</v>
      </c>
      <c r="E9" s="224" t="s">
        <v>5</v>
      </c>
      <c r="F9" s="244" t="s">
        <v>37</v>
      </c>
    </row>
    <row r="10" spans="1:13">
      <c r="A10" s="219"/>
      <c r="B10" s="221"/>
      <c r="C10" s="221"/>
      <c r="D10" s="223"/>
      <c r="E10" s="225"/>
      <c r="F10" s="245"/>
    </row>
    <row r="11" spans="1:13">
      <c r="A11" s="184"/>
      <c r="F11" s="185"/>
    </row>
    <row r="12" spans="1:13">
      <c r="A12" s="63" t="s">
        <v>49</v>
      </c>
      <c r="B12" s="64"/>
      <c r="C12" s="29"/>
      <c r="D12" s="30" t="s">
        <v>53</v>
      </c>
      <c r="E12" s="31"/>
      <c r="F12" s="132"/>
    </row>
    <row r="13" spans="1:13" ht="26.5">
      <c r="A13" s="34" t="s">
        <v>62</v>
      </c>
      <c r="B13" s="22" t="s">
        <v>50</v>
      </c>
      <c r="C13" s="33" t="s">
        <v>2</v>
      </c>
      <c r="D13" s="67" t="e">
        <f>LOOKUP(C13,#REF!,#REF!)</f>
        <v>#REF!</v>
      </c>
      <c r="E13" s="20" t="e">
        <f>LOOKUP(C13,#REF!,#REF!)</f>
        <v>#REF!</v>
      </c>
      <c r="F13" s="133">
        <f>F14</f>
        <v>2</v>
      </c>
    </row>
    <row r="14" spans="1:13" ht="30.5" customHeight="1">
      <c r="A14" s="236" t="s">
        <v>113</v>
      </c>
      <c r="B14" s="237"/>
      <c r="C14" s="237"/>
      <c r="D14" s="237"/>
      <c r="E14" s="237"/>
      <c r="F14" s="134">
        <f>ROUND(2,2)</f>
        <v>2</v>
      </c>
    </row>
    <row r="15" spans="1:13">
      <c r="A15" s="34" t="s">
        <v>63</v>
      </c>
      <c r="B15" s="22" t="s">
        <v>50</v>
      </c>
      <c r="C15" s="33" t="s">
        <v>12</v>
      </c>
      <c r="D15" s="67" t="e">
        <f>LOOKUP(C15,#REF!,#REF!)</f>
        <v>#REF!</v>
      </c>
      <c r="E15" s="20" t="e">
        <f>LOOKUP(C15,#REF!,#REF!)</f>
        <v>#REF!</v>
      </c>
      <c r="F15" s="133">
        <f>F16</f>
        <v>5.25</v>
      </c>
    </row>
    <row r="16" spans="1:13">
      <c r="A16" s="236" t="s">
        <v>100</v>
      </c>
      <c r="B16" s="237"/>
      <c r="C16" s="237"/>
      <c r="D16" s="237"/>
      <c r="E16" s="237"/>
      <c r="F16" s="134">
        <f>ROUND(3.5*1.5,2)</f>
        <v>5.25</v>
      </c>
    </row>
    <row r="17" spans="1:9">
      <c r="A17" s="110"/>
      <c r="B17" s="109"/>
      <c r="C17" s="109"/>
      <c r="D17" s="109"/>
      <c r="E17" s="109"/>
      <c r="F17" s="186"/>
    </row>
    <row r="18" spans="1:9" ht="24.5" customHeight="1">
      <c r="A18" s="241" t="s">
        <v>114</v>
      </c>
      <c r="B18" s="242"/>
      <c r="C18" s="242"/>
      <c r="D18" s="242"/>
      <c r="E18" s="242"/>
      <c r="F18" s="243"/>
      <c r="G18" s="182"/>
      <c r="H18" s="182"/>
      <c r="I18" s="182"/>
    </row>
    <row r="19" spans="1:9" ht="26.5">
      <c r="A19" s="63" t="s">
        <v>54</v>
      </c>
      <c r="B19" s="64"/>
      <c r="C19" s="29"/>
      <c r="D19" s="30" t="s">
        <v>59</v>
      </c>
      <c r="E19" s="31"/>
      <c r="F19" s="132"/>
    </row>
    <row r="20" spans="1:9" ht="39.5">
      <c r="A20" s="34" t="s">
        <v>65</v>
      </c>
      <c r="B20" s="62" t="s">
        <v>50</v>
      </c>
      <c r="C20" s="50" t="s">
        <v>13</v>
      </c>
      <c r="D20" s="67" t="e">
        <f>LOOKUP(C20,#REF!,#REF!)</f>
        <v>#REF!</v>
      </c>
      <c r="E20" s="20" t="e">
        <f>LOOKUP(C20,#REF!,#REF!)</f>
        <v>#REF!</v>
      </c>
      <c r="F20" s="133">
        <f>F21</f>
        <v>119.43</v>
      </c>
    </row>
    <row r="21" spans="1:9" ht="22.5" customHeight="1">
      <c r="A21" s="236" t="s">
        <v>117</v>
      </c>
      <c r="B21" s="237"/>
      <c r="C21" s="237"/>
      <c r="D21" s="237"/>
      <c r="E21" s="237"/>
      <c r="F21" s="134">
        <f>ROUND(119.43,2)</f>
        <v>119.43</v>
      </c>
    </row>
    <row r="22" spans="1:9" ht="39.5">
      <c r="A22" s="34" t="s">
        <v>66</v>
      </c>
      <c r="B22" s="62" t="s">
        <v>50</v>
      </c>
      <c r="C22" s="50" t="s">
        <v>18</v>
      </c>
      <c r="D22" s="67" t="e">
        <f>LOOKUP(C22,#REF!,#REF!)</f>
        <v>#REF!</v>
      </c>
      <c r="E22" s="20" t="e">
        <f>LOOKUP(C22,#REF!,#REF!)</f>
        <v>#REF!</v>
      </c>
      <c r="F22" s="133">
        <f>F23</f>
        <v>386.25</v>
      </c>
    </row>
    <row r="23" spans="1:9" ht="29.5" customHeight="1">
      <c r="A23" s="236" t="s">
        <v>117</v>
      </c>
      <c r="B23" s="237"/>
      <c r="C23" s="237"/>
      <c r="D23" s="237"/>
      <c r="E23" s="237"/>
      <c r="F23" s="134">
        <f>ROUND(386.25,2)</f>
        <v>386.25</v>
      </c>
    </row>
    <row r="24" spans="1:9" ht="26.5">
      <c r="A24" s="34" t="s">
        <v>67</v>
      </c>
      <c r="B24" s="62" t="s">
        <v>50</v>
      </c>
      <c r="C24" s="50" t="s">
        <v>30</v>
      </c>
      <c r="D24" s="67" t="e">
        <f>LOOKUP(C24,#REF!,#REF!)</f>
        <v>#REF!</v>
      </c>
      <c r="E24" s="20" t="e">
        <f>LOOKUP(C24,#REF!,#REF!)</f>
        <v>#REF!</v>
      </c>
      <c r="F24" s="133">
        <f>F25</f>
        <v>4.88</v>
      </c>
    </row>
    <row r="25" spans="1:9" ht="37" customHeight="1">
      <c r="A25" s="236" t="s">
        <v>148</v>
      </c>
      <c r="B25" s="237"/>
      <c r="C25" s="237"/>
      <c r="D25" s="237"/>
      <c r="E25" s="237"/>
      <c r="F25" s="134">
        <f>ROUND( ((29.35+12.1+22.9+46.78)*0.3*0.11)+(0.8*13.22*0.11)+(0.3*1.55*0.11),2)</f>
        <v>4.88</v>
      </c>
    </row>
    <row r="26" spans="1:9">
      <c r="A26" s="34" t="s">
        <v>68</v>
      </c>
      <c r="B26" s="62" t="s">
        <v>50</v>
      </c>
      <c r="C26" s="50" t="s">
        <v>20</v>
      </c>
      <c r="D26" s="24" t="e">
        <f>LOOKUP(C26,#REF!,#REF!)</f>
        <v>#REF!</v>
      </c>
      <c r="E26" s="20" t="e">
        <f>LOOKUP(C26,#REF!,#REF!)</f>
        <v>#REF!</v>
      </c>
      <c r="F26" s="133">
        <f>F27</f>
        <v>115.88</v>
      </c>
    </row>
    <row r="27" spans="1:9" ht="27.5" customHeight="1">
      <c r="A27" s="236" t="s">
        <v>119</v>
      </c>
      <c r="B27" s="237"/>
      <c r="C27" s="237"/>
      <c r="D27" s="237"/>
      <c r="E27" s="237"/>
      <c r="F27" s="134">
        <f>ROUND((386.25)*0.3,2)</f>
        <v>115.88</v>
      </c>
    </row>
    <row r="28" spans="1:9" ht="26.5">
      <c r="A28" s="34" t="s">
        <v>69</v>
      </c>
      <c r="B28" s="62" t="s">
        <v>50</v>
      </c>
      <c r="C28" s="50" t="s">
        <v>22</v>
      </c>
      <c r="D28" s="67" t="e">
        <f>LOOKUP(C28,#REF!,#REF!)</f>
        <v>#REF!</v>
      </c>
      <c r="E28" s="20" t="e">
        <f>LOOKUP(C28,#REF!,#REF!)</f>
        <v>#REF!</v>
      </c>
      <c r="F28" s="133">
        <f>F29</f>
        <v>19.309999999999999</v>
      </c>
    </row>
    <row r="29" spans="1:9" ht="27" customHeight="1">
      <c r="A29" s="236" t="s">
        <v>120</v>
      </c>
      <c r="B29" s="237"/>
      <c r="C29" s="237"/>
      <c r="D29" s="237"/>
      <c r="E29" s="237"/>
      <c r="F29" s="134">
        <f>ROUND((386.25*0.05),2)</f>
        <v>19.309999999999999</v>
      </c>
    </row>
    <row r="30" spans="1:9">
      <c r="A30" s="34" t="s">
        <v>70</v>
      </c>
      <c r="B30" s="62" t="s">
        <v>50</v>
      </c>
      <c r="C30" s="50" t="s">
        <v>24</v>
      </c>
      <c r="D30" s="24" t="e">
        <f>LOOKUP(C30,#REF!,#REF!)</f>
        <v>#REF!</v>
      </c>
      <c r="E30" s="20" t="e">
        <f>LOOKUP(C30,#REF!,#REF!)</f>
        <v>#REF!</v>
      </c>
      <c r="F30" s="133">
        <f>F31</f>
        <v>386.25</v>
      </c>
    </row>
    <row r="31" spans="1:9" ht="22.5" customHeight="1">
      <c r="A31" s="236" t="s">
        <v>121</v>
      </c>
      <c r="B31" s="237"/>
      <c r="C31" s="237"/>
      <c r="D31" s="237"/>
      <c r="E31" s="237"/>
      <c r="F31" s="134">
        <f>ROUND(386.25,2)</f>
        <v>386.25</v>
      </c>
    </row>
    <row r="32" spans="1:9">
      <c r="A32" s="34" t="s">
        <v>71</v>
      </c>
      <c r="B32" s="62" t="s">
        <v>50</v>
      </c>
      <c r="C32" s="50" t="s">
        <v>26</v>
      </c>
      <c r="D32" s="24" t="e">
        <f>LOOKUP(C32,#REF!,#REF!)</f>
        <v>#REF!</v>
      </c>
      <c r="E32" s="20" t="e">
        <f>LOOKUP(C32,#REF!,#REF!)</f>
        <v>#REF!</v>
      </c>
      <c r="F32" s="133">
        <f>F33</f>
        <v>386.25</v>
      </c>
    </row>
    <row r="33" spans="1:9" ht="27.5" customHeight="1">
      <c r="A33" s="236" t="s">
        <v>122</v>
      </c>
      <c r="B33" s="237"/>
      <c r="C33" s="237"/>
      <c r="D33" s="237"/>
      <c r="E33" s="237"/>
      <c r="F33" s="134">
        <f>ROUND(386.25,2)</f>
        <v>386.25</v>
      </c>
    </row>
    <row r="34" spans="1:9">
      <c r="A34" s="34" t="s">
        <v>138</v>
      </c>
      <c r="B34" s="62" t="s">
        <v>50</v>
      </c>
      <c r="C34" s="50" t="s">
        <v>28</v>
      </c>
      <c r="D34" s="24" t="e">
        <f>LOOKUP(C34,#REF!,#REF!)</f>
        <v>#REF!</v>
      </c>
      <c r="E34" s="20" t="e">
        <f>LOOKUP(C34,#REF!,#REF!)</f>
        <v>#REF!</v>
      </c>
      <c r="F34" s="133">
        <f>F35</f>
        <v>71.989999999999995</v>
      </c>
    </row>
    <row r="35" spans="1:9" ht="27.5" customHeight="1">
      <c r="A35" s="236" t="s">
        <v>139</v>
      </c>
      <c r="B35" s="237"/>
      <c r="C35" s="237"/>
      <c r="D35" s="237"/>
      <c r="E35" s="237"/>
      <c r="F35" s="134">
        <f>ROUND(31.54+28.35+12.1,2)</f>
        <v>71.989999999999995</v>
      </c>
    </row>
    <row r="36" spans="1:9">
      <c r="A36" s="119"/>
      <c r="B36" s="120"/>
      <c r="C36" s="120"/>
      <c r="D36" s="120"/>
      <c r="E36" s="120"/>
      <c r="F36" s="187"/>
    </row>
    <row r="37" spans="1:9">
      <c r="A37" s="54" t="s">
        <v>55</v>
      </c>
      <c r="B37" s="18"/>
      <c r="C37" s="23"/>
      <c r="D37" s="19" t="s">
        <v>58</v>
      </c>
      <c r="E37" s="23"/>
      <c r="F37" s="188"/>
    </row>
    <row r="38" spans="1:9" ht="39">
      <c r="A38" s="99" t="s">
        <v>87</v>
      </c>
      <c r="B38" s="88" t="s">
        <v>50</v>
      </c>
      <c r="C38" s="89" t="s">
        <v>43</v>
      </c>
      <c r="D38" s="90" t="e">
        <f>LOOKUP(C38,#REF!,#REF!)</f>
        <v>#REF!</v>
      </c>
      <c r="E38" s="91" t="e">
        <f>LOOKUP(C38,#REF!,#REF!)</f>
        <v>#REF!</v>
      </c>
      <c r="F38" s="189">
        <f>F39</f>
        <v>80.099999999999994</v>
      </c>
    </row>
    <row r="39" spans="1:9" ht="26" customHeight="1">
      <c r="A39" s="236" t="s">
        <v>124</v>
      </c>
      <c r="B39" s="237"/>
      <c r="C39" s="237"/>
      <c r="D39" s="237"/>
      <c r="E39" s="237"/>
      <c r="F39" s="134">
        <f>ROUND(((4.5*0.3)+(8*5*0.3))*6,2)</f>
        <v>80.099999999999994</v>
      </c>
    </row>
    <row r="40" spans="1:9" ht="26">
      <c r="A40" s="99" t="s">
        <v>88</v>
      </c>
      <c r="B40" s="88" t="s">
        <v>50</v>
      </c>
      <c r="C40" s="89" t="s">
        <v>42</v>
      </c>
      <c r="D40" s="90" t="e">
        <f>LOOKUP(C40,#REF!,#REF!)</f>
        <v>#REF!</v>
      </c>
      <c r="E40" s="91" t="e">
        <f>LOOKUP(C40,#REF!,#REF!)</f>
        <v>#REF!</v>
      </c>
      <c r="F40" s="189">
        <f>F41</f>
        <v>1</v>
      </c>
    </row>
    <row r="41" spans="1:9">
      <c r="A41" s="236" t="s">
        <v>140</v>
      </c>
      <c r="B41" s="237"/>
      <c r="C41" s="237"/>
      <c r="D41" s="237"/>
      <c r="E41" s="237"/>
      <c r="F41" s="134">
        <f>ROUND((0.5*2),2)</f>
        <v>1</v>
      </c>
    </row>
    <row r="42" spans="1:9" ht="26">
      <c r="A42" s="99" t="s">
        <v>89</v>
      </c>
      <c r="B42" s="88" t="s">
        <v>50</v>
      </c>
      <c r="C42" s="89" t="s">
        <v>47</v>
      </c>
      <c r="D42" s="90" t="e">
        <f>LOOKUP(C42,#REF!,#REF!)</f>
        <v>#REF!</v>
      </c>
      <c r="E42" s="91" t="e">
        <f>LOOKUP(C42,#REF!,#REF!)</f>
        <v>#REF!</v>
      </c>
      <c r="F42" s="189">
        <f>F43</f>
        <v>2</v>
      </c>
    </row>
    <row r="43" spans="1:9" ht="27.5" customHeight="1">
      <c r="A43" s="236" t="s">
        <v>141</v>
      </c>
      <c r="B43" s="237"/>
      <c r="C43" s="237"/>
      <c r="D43" s="237"/>
      <c r="E43" s="237"/>
      <c r="F43" s="134">
        <f>ROUND(2,2)</f>
        <v>2</v>
      </c>
    </row>
    <row r="44" spans="1:9" ht="39">
      <c r="A44" s="99" t="s">
        <v>90</v>
      </c>
      <c r="B44" s="62" t="s">
        <v>50</v>
      </c>
      <c r="C44" s="20" t="s">
        <v>45</v>
      </c>
      <c r="D44" s="24" t="e">
        <f>LOOKUP(C44,#REF!,#REF!)</f>
        <v>#REF!</v>
      </c>
      <c r="E44" s="85" t="e">
        <f>LOOKUP(C44,#REF!,#REF!)</f>
        <v>#REF!</v>
      </c>
      <c r="F44" s="190">
        <f>F45</f>
        <v>0.28999999999999998</v>
      </c>
    </row>
    <row r="45" spans="1:9" ht="31.5" customHeight="1">
      <c r="A45" s="236" t="s">
        <v>159</v>
      </c>
      <c r="B45" s="237"/>
      <c r="C45" s="237"/>
      <c r="D45" s="237"/>
      <c r="E45" s="237"/>
      <c r="F45" s="134">
        <f>ROUND(((0.3*0.6)+(0.45*0.25)),2)</f>
        <v>0.28999999999999998</v>
      </c>
    </row>
    <row r="46" spans="1:9">
      <c r="A46" s="110"/>
      <c r="B46" s="109"/>
      <c r="C46" s="109"/>
      <c r="D46" s="109"/>
      <c r="E46" s="109"/>
      <c r="F46" s="191"/>
    </row>
    <row r="47" spans="1:9" ht="29.5" customHeight="1">
      <c r="A47" s="238" t="s">
        <v>115</v>
      </c>
      <c r="B47" s="239"/>
      <c r="C47" s="239"/>
      <c r="D47" s="239"/>
      <c r="E47" s="239"/>
      <c r="F47" s="240"/>
      <c r="G47" s="171"/>
      <c r="H47" s="171"/>
      <c r="I47" s="171"/>
    </row>
    <row r="48" spans="1:9" ht="26.5">
      <c r="A48" s="63" t="s">
        <v>56</v>
      </c>
      <c r="B48" s="64"/>
      <c r="C48" s="29"/>
      <c r="D48" s="30" t="s">
        <v>59</v>
      </c>
      <c r="E48" s="31"/>
      <c r="F48" s="132"/>
    </row>
    <row r="49" spans="1:6" ht="39.5">
      <c r="A49" s="34" t="s">
        <v>72</v>
      </c>
      <c r="B49" s="62" t="s">
        <v>50</v>
      </c>
      <c r="C49" s="20" t="s">
        <v>15</v>
      </c>
      <c r="D49" s="67" t="e">
        <f>LOOKUP(C49,#REF!,#REF!)</f>
        <v>#REF!</v>
      </c>
      <c r="E49" s="20" t="e">
        <f>LOOKUP(C49,#REF!,#REF!)</f>
        <v>#REF!</v>
      </c>
      <c r="F49" s="192">
        <f>F50</f>
        <v>681.43</v>
      </c>
    </row>
    <row r="50" spans="1:6">
      <c r="A50" s="236" t="s">
        <v>94</v>
      </c>
      <c r="B50" s="237"/>
      <c r="C50" s="237"/>
      <c r="D50" s="237"/>
      <c r="E50" s="237"/>
      <c r="F50" s="134">
        <f>ROUND(681.43,2)</f>
        <v>681.43</v>
      </c>
    </row>
    <row r="51" spans="1:6" ht="26.5">
      <c r="A51" s="34" t="s">
        <v>73</v>
      </c>
      <c r="B51" s="62" t="s">
        <v>50</v>
      </c>
      <c r="C51" s="50" t="s">
        <v>22</v>
      </c>
      <c r="D51" s="67" t="e">
        <f>LOOKUP(C51,#REF!,#REF!)</f>
        <v>#REF!</v>
      </c>
      <c r="E51" s="20" t="e">
        <f>LOOKUP(C51,#REF!,#REF!)</f>
        <v>#REF!</v>
      </c>
      <c r="F51" s="133">
        <f>F52</f>
        <v>27.26</v>
      </c>
    </row>
    <row r="52" spans="1:6" ht="35" customHeight="1">
      <c r="A52" s="236" t="s">
        <v>163</v>
      </c>
      <c r="B52" s="237"/>
      <c r="C52" s="237"/>
      <c r="D52" s="237"/>
      <c r="E52" s="237"/>
      <c r="F52" s="134">
        <f>ROUND((681.43)*0.04,2)</f>
        <v>27.26</v>
      </c>
    </row>
    <row r="53" spans="1:6">
      <c r="A53" s="34" t="s">
        <v>74</v>
      </c>
      <c r="B53" s="62" t="s">
        <v>50</v>
      </c>
      <c r="C53" s="50" t="s">
        <v>24</v>
      </c>
      <c r="D53" s="67" t="e">
        <f>LOOKUP(C53,#REF!,#REF!)</f>
        <v>#REF!</v>
      </c>
      <c r="E53" s="20" t="e">
        <f>LOOKUP(C53,#REF!,#REF!)</f>
        <v>#REF!</v>
      </c>
      <c r="F53" s="133">
        <f>F54</f>
        <v>681.43</v>
      </c>
    </row>
    <row r="54" spans="1:6">
      <c r="A54" s="236" t="s">
        <v>130</v>
      </c>
      <c r="B54" s="237"/>
      <c r="C54" s="237"/>
      <c r="D54" s="237"/>
      <c r="E54" s="237"/>
      <c r="F54" s="134">
        <f>ROUND(F50,2)</f>
        <v>681.43</v>
      </c>
    </row>
    <row r="55" spans="1:6">
      <c r="A55" s="34" t="s">
        <v>142</v>
      </c>
      <c r="B55" s="62" t="s">
        <v>50</v>
      </c>
      <c r="C55" s="50" t="s">
        <v>28</v>
      </c>
      <c r="D55" s="67" t="e">
        <f>LOOKUP(C55,#REF!,#REF!)</f>
        <v>#REF!</v>
      </c>
      <c r="E55" s="20" t="e">
        <f>LOOKUP(C55,#REF!,#REF!)</f>
        <v>#REF!</v>
      </c>
      <c r="F55" s="133">
        <f>F56</f>
        <v>5.6</v>
      </c>
    </row>
    <row r="56" spans="1:6">
      <c r="A56" s="236" t="s">
        <v>144</v>
      </c>
      <c r="B56" s="237"/>
      <c r="C56" s="237"/>
      <c r="D56" s="237"/>
      <c r="E56" s="237"/>
      <c r="F56" s="134">
        <f>ROUND(5.6,2)</f>
        <v>5.6</v>
      </c>
    </row>
    <row r="57" spans="1:6" ht="26.5">
      <c r="A57" s="34" t="s">
        <v>143</v>
      </c>
      <c r="B57" s="62" t="s">
        <v>50</v>
      </c>
      <c r="C57" s="50" t="s">
        <v>30</v>
      </c>
      <c r="D57" s="67" t="e">
        <f>LOOKUP(C57,#REF!,#REF!)</f>
        <v>#REF!</v>
      </c>
      <c r="E57" s="20" t="e">
        <f>LOOKUP(C57,#REF!,#REF!)</f>
        <v>#REF!</v>
      </c>
      <c r="F57" s="133">
        <f>F58</f>
        <v>1.56</v>
      </c>
    </row>
    <row r="58" spans="1:6" ht="32.5" customHeight="1">
      <c r="A58" s="236" t="s">
        <v>147</v>
      </c>
      <c r="B58" s="237"/>
      <c r="C58" s="237"/>
      <c r="D58" s="237"/>
      <c r="E58" s="237"/>
      <c r="F58" s="134">
        <f>ROUND((0.8*4.62*0.11)+(35*0.3*0.11),2)</f>
        <v>1.56</v>
      </c>
    </row>
    <row r="59" spans="1:6" ht="44.5" customHeight="1">
      <c r="A59" s="34" t="s">
        <v>145</v>
      </c>
      <c r="B59" s="62" t="s">
        <v>50</v>
      </c>
      <c r="C59" s="50" t="s">
        <v>13</v>
      </c>
      <c r="D59" s="67" t="e">
        <f>LOOKUP(C59,#REF!,#REF!)</f>
        <v>#REF!</v>
      </c>
      <c r="E59" s="20" t="e">
        <f>LOOKUP(C59,#REF!,#REF!)</f>
        <v>#REF!</v>
      </c>
      <c r="F59" s="133">
        <f>F60</f>
        <v>152.54</v>
      </c>
    </row>
    <row r="60" spans="1:6" ht="32.5" customHeight="1">
      <c r="A60" s="236" t="s">
        <v>154</v>
      </c>
      <c r="B60" s="237"/>
      <c r="C60" s="237"/>
      <c r="D60" s="237"/>
      <c r="E60" s="237"/>
      <c r="F60" s="134">
        <f>ROUND((47.9+104.64),2)</f>
        <v>152.54</v>
      </c>
    </row>
    <row r="61" spans="1:6">
      <c r="A61" s="34" t="s">
        <v>146</v>
      </c>
      <c r="B61" s="62" t="s">
        <v>50</v>
      </c>
      <c r="C61" s="50" t="s">
        <v>20</v>
      </c>
      <c r="D61" s="67" t="e">
        <f>LOOKUP(C61,#REF!,#REF!)</f>
        <v>#REF!</v>
      </c>
      <c r="E61" s="20" t="e">
        <f>LOOKUP(C61,#REF!,#REF!)</f>
        <v>#REF!</v>
      </c>
      <c r="F61" s="133">
        <f>F62</f>
        <v>44.18</v>
      </c>
    </row>
    <row r="62" spans="1:6" ht="32.5" customHeight="1">
      <c r="A62" s="236" t="s">
        <v>155</v>
      </c>
      <c r="B62" s="237"/>
      <c r="C62" s="237"/>
      <c r="D62" s="237"/>
      <c r="E62" s="237"/>
      <c r="F62" s="134">
        <f>ROUND((42.63+104.64)*0.3,2)</f>
        <v>44.18</v>
      </c>
    </row>
    <row r="63" spans="1:6">
      <c r="A63" s="110"/>
      <c r="B63" s="109"/>
      <c r="C63" s="109"/>
      <c r="D63" s="109"/>
      <c r="E63" s="109"/>
      <c r="F63" s="191"/>
    </row>
    <row r="64" spans="1:6">
      <c r="A64" s="54" t="s">
        <v>149</v>
      </c>
      <c r="B64" s="18"/>
      <c r="C64" s="23"/>
      <c r="D64" s="19" t="s">
        <v>58</v>
      </c>
      <c r="E64" s="23"/>
      <c r="F64" s="188"/>
    </row>
    <row r="65" spans="1:9" ht="26">
      <c r="A65" s="99" t="s">
        <v>150</v>
      </c>
      <c r="B65" s="88" t="s">
        <v>50</v>
      </c>
      <c r="C65" s="89" t="s">
        <v>42</v>
      </c>
      <c r="D65" s="90" t="e">
        <f>LOOKUP(C65,#REF!,#REF!)</f>
        <v>#REF!</v>
      </c>
      <c r="E65" s="91" t="e">
        <f>LOOKUP(C65,#REF!,#REF!)</f>
        <v>#REF!</v>
      </c>
      <c r="F65" s="189">
        <f>F66</f>
        <v>1</v>
      </c>
    </row>
    <row r="66" spans="1:9">
      <c r="A66" s="236" t="s">
        <v>140</v>
      </c>
      <c r="B66" s="237"/>
      <c r="C66" s="237"/>
      <c r="D66" s="237"/>
      <c r="E66" s="237"/>
      <c r="F66" s="134">
        <f>ROUND((0.5*2),2)</f>
        <v>1</v>
      </c>
    </row>
    <row r="67" spans="1:9" ht="26">
      <c r="A67" s="99" t="s">
        <v>151</v>
      </c>
      <c r="B67" s="88" t="s">
        <v>50</v>
      </c>
      <c r="C67" s="89" t="s">
        <v>47</v>
      </c>
      <c r="D67" s="90" t="e">
        <f>LOOKUP(C67,#REF!,#REF!)</f>
        <v>#REF!</v>
      </c>
      <c r="E67" s="91" t="e">
        <f>LOOKUP(C67,#REF!,#REF!)</f>
        <v>#REF!</v>
      </c>
      <c r="F67" s="189">
        <f>F68</f>
        <v>2</v>
      </c>
    </row>
    <row r="68" spans="1:9" ht="20.5" customHeight="1">
      <c r="A68" s="236" t="s">
        <v>141</v>
      </c>
      <c r="B68" s="237"/>
      <c r="C68" s="237"/>
      <c r="D68" s="237"/>
      <c r="E68" s="237"/>
      <c r="F68" s="134">
        <f>ROUND(2,2)</f>
        <v>2</v>
      </c>
    </row>
    <row r="69" spans="1:9" ht="39">
      <c r="A69" s="99" t="s">
        <v>152</v>
      </c>
      <c r="B69" s="62" t="s">
        <v>50</v>
      </c>
      <c r="C69" s="20" t="s">
        <v>45</v>
      </c>
      <c r="D69" s="24" t="e">
        <f>LOOKUP(C69,#REF!,#REF!)</f>
        <v>#REF!</v>
      </c>
      <c r="E69" s="85" t="e">
        <f>LOOKUP(C69,#REF!,#REF!)</f>
        <v>#REF!</v>
      </c>
      <c r="F69" s="190">
        <f>F70</f>
        <v>0.45</v>
      </c>
    </row>
    <row r="70" spans="1:9" ht="23" customHeight="1">
      <c r="A70" s="236" t="s">
        <v>166</v>
      </c>
      <c r="B70" s="237"/>
      <c r="C70" s="237"/>
      <c r="D70" s="237"/>
      <c r="E70" s="237"/>
      <c r="F70" s="134">
        <f>ROUND(((0.45*0.25)*4),2)</f>
        <v>0.45</v>
      </c>
    </row>
    <row r="71" spans="1:9">
      <c r="A71" s="110"/>
      <c r="B71" s="109"/>
      <c r="C71" s="109"/>
      <c r="D71" s="109"/>
      <c r="E71" s="109"/>
      <c r="F71" s="191"/>
    </row>
    <row r="72" spans="1:9" ht="36.5" customHeight="1">
      <c r="A72" s="238" t="s">
        <v>131</v>
      </c>
      <c r="B72" s="239"/>
      <c r="C72" s="239"/>
      <c r="D72" s="239"/>
      <c r="E72" s="239"/>
      <c r="F72" s="240"/>
      <c r="G72" s="171"/>
      <c r="H72" s="171"/>
      <c r="I72" s="171"/>
    </row>
    <row r="73" spans="1:9" ht="26.5">
      <c r="A73" s="63" t="s">
        <v>57</v>
      </c>
      <c r="B73" s="64"/>
      <c r="C73" s="29"/>
      <c r="D73" s="30" t="s">
        <v>59</v>
      </c>
      <c r="E73" s="31"/>
      <c r="F73" s="132"/>
    </row>
    <row r="74" spans="1:9" ht="39.5">
      <c r="A74" s="34" t="s">
        <v>75</v>
      </c>
      <c r="B74" s="62" t="s">
        <v>50</v>
      </c>
      <c r="C74" s="20" t="s">
        <v>15</v>
      </c>
      <c r="D74" s="67" t="e">
        <f>LOOKUP(C74,#REF!,#REF!)</f>
        <v>#REF!</v>
      </c>
      <c r="E74" s="20" t="e">
        <f>LOOKUP(C74,#REF!,#REF!)</f>
        <v>#REF!</v>
      </c>
      <c r="F74" s="192">
        <f>F75</f>
        <v>176.42</v>
      </c>
    </row>
    <row r="75" spans="1:9">
      <c r="A75" s="236" t="s">
        <v>94</v>
      </c>
      <c r="B75" s="237"/>
      <c r="C75" s="237"/>
      <c r="D75" s="237"/>
      <c r="E75" s="237"/>
      <c r="F75" s="134">
        <f>ROUND(176.42,2)</f>
        <v>176.42</v>
      </c>
    </row>
    <row r="76" spans="1:9" ht="26.5">
      <c r="A76" s="34" t="s">
        <v>76</v>
      </c>
      <c r="B76" s="62" t="s">
        <v>50</v>
      </c>
      <c r="C76" s="50" t="s">
        <v>22</v>
      </c>
      <c r="D76" s="67" t="e">
        <f>LOOKUP(C76,#REF!,#REF!)</f>
        <v>#REF!</v>
      </c>
      <c r="E76" s="20" t="e">
        <f>LOOKUP(C76,#REF!,#REF!)</f>
        <v>#REF!</v>
      </c>
      <c r="F76" s="133">
        <f>F77</f>
        <v>7.06</v>
      </c>
    </row>
    <row r="77" spans="1:9" ht="26" customHeight="1">
      <c r="A77" s="236" t="s">
        <v>164</v>
      </c>
      <c r="B77" s="237"/>
      <c r="C77" s="237"/>
      <c r="D77" s="237"/>
      <c r="E77" s="237"/>
      <c r="F77" s="134">
        <f>ROUND((176.42)*0.04,2)</f>
        <v>7.06</v>
      </c>
    </row>
    <row r="78" spans="1:9">
      <c r="A78" s="34" t="s">
        <v>77</v>
      </c>
      <c r="B78" s="62" t="s">
        <v>50</v>
      </c>
      <c r="C78" s="50" t="s">
        <v>24</v>
      </c>
      <c r="D78" s="67" t="e">
        <f>LOOKUP(C78,#REF!,#REF!)</f>
        <v>#REF!</v>
      </c>
      <c r="E78" s="20" t="e">
        <f>LOOKUP(C78,#REF!,#REF!)</f>
        <v>#REF!</v>
      </c>
      <c r="F78" s="133">
        <f>F79</f>
        <v>176.42</v>
      </c>
    </row>
    <row r="79" spans="1:9">
      <c r="A79" s="236" t="s">
        <v>129</v>
      </c>
      <c r="B79" s="237"/>
      <c r="C79" s="237"/>
      <c r="D79" s="237"/>
      <c r="E79" s="237"/>
      <c r="F79" s="134">
        <f>ROUND(F75,2)</f>
        <v>176.42</v>
      </c>
    </row>
    <row r="80" spans="1:9">
      <c r="A80" s="110"/>
      <c r="B80" s="109"/>
      <c r="C80" s="109"/>
      <c r="D80" s="109"/>
      <c r="E80" s="109"/>
      <c r="F80" s="186"/>
    </row>
    <row r="81" spans="1:9" ht="28" customHeight="1">
      <c r="A81" s="238" t="s">
        <v>153</v>
      </c>
      <c r="B81" s="239"/>
      <c r="C81" s="239"/>
      <c r="D81" s="239"/>
      <c r="E81" s="239"/>
      <c r="F81" s="240"/>
      <c r="G81" s="171"/>
      <c r="H81" s="171"/>
      <c r="I81" s="171"/>
    </row>
    <row r="82" spans="1:9" ht="26.5">
      <c r="A82" s="63" t="s">
        <v>60</v>
      </c>
      <c r="B82" s="64"/>
      <c r="C82" s="29"/>
      <c r="D82" s="30" t="s">
        <v>59</v>
      </c>
      <c r="E82" s="31"/>
      <c r="F82" s="132"/>
    </row>
    <row r="83" spans="1:9" ht="39.5">
      <c r="A83" s="34" t="s">
        <v>78</v>
      </c>
      <c r="B83" s="62" t="s">
        <v>50</v>
      </c>
      <c r="C83" s="20" t="s">
        <v>15</v>
      </c>
      <c r="D83" s="67" t="e">
        <f>LOOKUP(C83,#REF!,#REF!)</f>
        <v>#REF!</v>
      </c>
      <c r="E83" s="20" t="e">
        <f>LOOKUP(C83,#REF!,#REF!)</f>
        <v>#REF!</v>
      </c>
      <c r="F83" s="192">
        <f>F84</f>
        <v>2015.15</v>
      </c>
    </row>
    <row r="84" spans="1:9">
      <c r="A84" s="236" t="s">
        <v>94</v>
      </c>
      <c r="B84" s="237"/>
      <c r="C84" s="237"/>
      <c r="D84" s="237"/>
      <c r="E84" s="237"/>
      <c r="F84" s="134">
        <f>ROUND(2015.15,2)</f>
        <v>2015.15</v>
      </c>
    </row>
    <row r="85" spans="1:9" ht="26.5">
      <c r="A85" s="34" t="s">
        <v>79</v>
      </c>
      <c r="B85" s="62" t="s">
        <v>50</v>
      </c>
      <c r="C85" s="50" t="s">
        <v>22</v>
      </c>
      <c r="D85" s="67" t="e">
        <f>LOOKUP(C85,#REF!,#REF!)</f>
        <v>#REF!</v>
      </c>
      <c r="E85" s="20" t="e">
        <f>LOOKUP(C85,#REF!,#REF!)</f>
        <v>#REF!</v>
      </c>
      <c r="F85" s="133">
        <f>F86</f>
        <v>100.76</v>
      </c>
    </row>
    <row r="86" spans="1:9" ht="30.5" customHeight="1">
      <c r="A86" s="236" t="s">
        <v>165</v>
      </c>
      <c r="B86" s="237"/>
      <c r="C86" s="237"/>
      <c r="D86" s="237"/>
      <c r="E86" s="237"/>
      <c r="F86" s="134">
        <f>ROUND((F84)*0.05,2)</f>
        <v>100.76</v>
      </c>
    </row>
    <row r="87" spans="1:9">
      <c r="A87" s="34" t="s">
        <v>80</v>
      </c>
      <c r="B87" s="62" t="s">
        <v>50</v>
      </c>
      <c r="C87" s="50" t="s">
        <v>24</v>
      </c>
      <c r="D87" s="67" t="e">
        <f>LOOKUP(C87,#REF!,#REF!)</f>
        <v>#REF!</v>
      </c>
      <c r="E87" s="20" t="e">
        <f>LOOKUP(C87,#REF!,#REF!)</f>
        <v>#REF!</v>
      </c>
      <c r="F87" s="133">
        <f>F88</f>
        <v>2015.15</v>
      </c>
    </row>
    <row r="88" spans="1:9">
      <c r="A88" s="236" t="s">
        <v>99</v>
      </c>
      <c r="B88" s="237"/>
      <c r="C88" s="237"/>
      <c r="D88" s="237"/>
      <c r="E88" s="237"/>
      <c r="F88" s="134">
        <f>ROUND(F84,2)</f>
        <v>2015.15</v>
      </c>
    </row>
    <row r="89" spans="1:9" ht="25.5" customHeight="1">
      <c r="A89" s="34" t="s">
        <v>156</v>
      </c>
      <c r="B89" s="62" t="s">
        <v>50</v>
      </c>
      <c r="C89" s="50" t="s">
        <v>30</v>
      </c>
      <c r="D89" s="67" t="e">
        <f>LOOKUP(C89,#REF!,#REF!)</f>
        <v>#REF!</v>
      </c>
      <c r="E89" s="20" t="e">
        <f>LOOKUP(C89,#REF!,#REF!)</f>
        <v>#REF!</v>
      </c>
      <c r="F89" s="133">
        <f>F90</f>
        <v>1.1599999999999999</v>
      </c>
    </row>
    <row r="90" spans="1:9" ht="25" customHeight="1">
      <c r="A90" s="236" t="s">
        <v>162</v>
      </c>
      <c r="B90" s="237"/>
      <c r="C90" s="237"/>
      <c r="D90" s="237"/>
      <c r="E90" s="237"/>
      <c r="F90" s="134">
        <f>ROUND((20.25+6.89+7.92)*0.3*0.11,2)</f>
        <v>1.1599999999999999</v>
      </c>
    </row>
    <row r="91" spans="1:9">
      <c r="A91" s="34" t="s">
        <v>157</v>
      </c>
      <c r="B91" s="62" t="s">
        <v>50</v>
      </c>
      <c r="C91" s="50" t="s">
        <v>28</v>
      </c>
      <c r="D91" s="67" t="e">
        <f>LOOKUP(C91,#REF!,#REF!)</f>
        <v>#REF!</v>
      </c>
      <c r="E91" s="20" t="e">
        <f>LOOKUP(C91,#REF!,#REF!)</f>
        <v>#REF!</v>
      </c>
      <c r="F91" s="133">
        <f>F92</f>
        <v>37.770000000000003</v>
      </c>
    </row>
    <row r="92" spans="1:9">
      <c r="A92" s="236" t="s">
        <v>161</v>
      </c>
      <c r="B92" s="237"/>
      <c r="C92" s="237"/>
      <c r="D92" s="237"/>
      <c r="E92" s="237"/>
      <c r="F92" s="134">
        <f>ROUND(20.25+17.52,2)</f>
        <v>37.770000000000003</v>
      </c>
    </row>
    <row r="93" spans="1:9">
      <c r="A93" s="71"/>
      <c r="B93" s="72"/>
      <c r="C93" s="72"/>
      <c r="D93" s="72"/>
      <c r="E93" s="72"/>
      <c r="F93" s="193"/>
    </row>
    <row r="94" spans="1:9">
      <c r="A94" s="54" t="s">
        <v>61</v>
      </c>
      <c r="B94" s="18"/>
      <c r="C94" s="23"/>
      <c r="D94" s="19" t="s">
        <v>58</v>
      </c>
      <c r="E94" s="23"/>
      <c r="F94" s="188"/>
    </row>
    <row r="95" spans="1:9" ht="39">
      <c r="A95" s="99" t="s">
        <v>81</v>
      </c>
      <c r="B95" s="88" t="s">
        <v>50</v>
      </c>
      <c r="C95" s="89" t="s">
        <v>43</v>
      </c>
      <c r="D95" s="90" t="e">
        <f>LOOKUP(C95,#REF!,#REF!)</f>
        <v>#REF!</v>
      </c>
      <c r="E95" s="91" t="e">
        <f>LOOKUP(C95,#REF!,#REF!)</f>
        <v>#REF!</v>
      </c>
      <c r="F95" s="189">
        <f>F96</f>
        <v>60.33</v>
      </c>
    </row>
    <row r="96" spans="1:9" ht="56" customHeight="1">
      <c r="A96" s="236" t="s">
        <v>160</v>
      </c>
      <c r="B96" s="237"/>
      <c r="C96" s="237"/>
      <c r="D96" s="237"/>
      <c r="E96" s="237"/>
      <c r="F96" s="134">
        <f>ROUND(((3.5*0.3*2)+(11*5*0.3*2))+(4*0.1*1)+(6.44+18.39),2)</f>
        <v>60.33</v>
      </c>
    </row>
    <row r="97" spans="1:6" ht="26">
      <c r="A97" s="99" t="s">
        <v>96</v>
      </c>
      <c r="B97" s="88" t="s">
        <v>50</v>
      </c>
      <c r="C97" s="89" t="s">
        <v>42</v>
      </c>
      <c r="D97" s="90" t="e">
        <f>LOOKUP(C97,#REF!,#REF!)</f>
        <v>#REF!</v>
      </c>
      <c r="E97" s="91" t="e">
        <f>LOOKUP(C97,#REF!,#REF!)</f>
        <v>#REF!</v>
      </c>
      <c r="F97" s="189">
        <f>F98</f>
        <v>1</v>
      </c>
    </row>
    <row r="98" spans="1:6" ht="24" customHeight="1">
      <c r="A98" s="236" t="s">
        <v>134</v>
      </c>
      <c r="B98" s="237"/>
      <c r="C98" s="237"/>
      <c r="D98" s="237"/>
      <c r="E98" s="237"/>
      <c r="F98" s="134">
        <f>ROUND((0.5*2),2)</f>
        <v>1</v>
      </c>
    </row>
    <row r="99" spans="1:6" ht="26">
      <c r="A99" s="99" t="s">
        <v>82</v>
      </c>
      <c r="B99" s="88" t="s">
        <v>50</v>
      </c>
      <c r="C99" s="89" t="s">
        <v>47</v>
      </c>
      <c r="D99" s="90" t="e">
        <f>LOOKUP(C99,#REF!,#REF!)</f>
        <v>#REF!</v>
      </c>
      <c r="E99" s="91" t="e">
        <f>LOOKUP(C99,#REF!,#REF!)</f>
        <v>#REF!</v>
      </c>
      <c r="F99" s="189">
        <f>F100</f>
        <v>5</v>
      </c>
    </row>
    <row r="100" spans="1:6" ht="28" customHeight="1">
      <c r="A100" s="236" t="s">
        <v>158</v>
      </c>
      <c r="B100" s="237"/>
      <c r="C100" s="237"/>
      <c r="D100" s="237"/>
      <c r="E100" s="237"/>
      <c r="F100" s="134">
        <f>ROUND(2+3,2)</f>
        <v>5</v>
      </c>
    </row>
    <row r="101" spans="1:6" ht="39">
      <c r="A101" s="99" t="s">
        <v>83</v>
      </c>
      <c r="B101" s="62" t="s">
        <v>50</v>
      </c>
      <c r="C101" s="20" t="s">
        <v>45</v>
      </c>
      <c r="D101" s="24" t="e">
        <f>LOOKUP(C101,#REF!,#REF!)</f>
        <v>#REF!</v>
      </c>
      <c r="E101" s="85" t="e">
        <f>LOOKUP(C101,#REF!,#REF!)</f>
        <v>#REF!</v>
      </c>
      <c r="F101" s="190">
        <f>F102</f>
        <v>0.9</v>
      </c>
    </row>
    <row r="102" spans="1:6" ht="25.5" customHeight="1" thickBot="1">
      <c r="A102" s="234" t="s">
        <v>167</v>
      </c>
      <c r="B102" s="235"/>
      <c r="C102" s="235"/>
      <c r="D102" s="235"/>
      <c r="E102" s="235"/>
      <c r="F102" s="194">
        <f>ROUND(((0.3*0.6)*2)+(0.45*0.2*6),2)</f>
        <v>0.9</v>
      </c>
    </row>
  </sheetData>
  <mergeCells count="52">
    <mergeCell ref="A1:F1"/>
    <mergeCell ref="A3:F3"/>
    <mergeCell ref="A4:F4"/>
    <mergeCell ref="A5:F5"/>
    <mergeCell ref="A14:E14"/>
    <mergeCell ref="A9:A10"/>
    <mergeCell ref="B9:B10"/>
    <mergeCell ref="C9:C10"/>
    <mergeCell ref="D9:D10"/>
    <mergeCell ref="E9:E10"/>
    <mergeCell ref="A6:F6"/>
    <mergeCell ref="A7:F7"/>
    <mergeCell ref="A52:E52"/>
    <mergeCell ref="A21:E21"/>
    <mergeCell ref="A23:E23"/>
    <mergeCell ref="A90:E90"/>
    <mergeCell ref="A92:E92"/>
    <mergeCell ref="A25:E25"/>
    <mergeCell ref="A29:E29"/>
    <mergeCell ref="A31:E31"/>
    <mergeCell ref="A33:E33"/>
    <mergeCell ref="A35:E35"/>
    <mergeCell ref="A43:E43"/>
    <mergeCell ref="A77:E77"/>
    <mergeCell ref="A54:E54"/>
    <mergeCell ref="A45:E45"/>
    <mergeCell ref="A50:E50"/>
    <mergeCell ref="A18:F18"/>
    <mergeCell ref="F9:F10"/>
    <mergeCell ref="A27:E27"/>
    <mergeCell ref="A16:E16"/>
    <mergeCell ref="A75:E75"/>
    <mergeCell ref="A39:E39"/>
    <mergeCell ref="A41:E41"/>
    <mergeCell ref="A72:F72"/>
    <mergeCell ref="A47:F47"/>
    <mergeCell ref="A56:E56"/>
    <mergeCell ref="A58:E58"/>
    <mergeCell ref="A60:E60"/>
    <mergeCell ref="A62:E62"/>
    <mergeCell ref="A66:E66"/>
    <mergeCell ref="A68:E68"/>
    <mergeCell ref="A70:E70"/>
    <mergeCell ref="A102:E102"/>
    <mergeCell ref="A96:E96"/>
    <mergeCell ref="A98:E98"/>
    <mergeCell ref="A79:E79"/>
    <mergeCell ref="A84:E84"/>
    <mergeCell ref="A88:E88"/>
    <mergeCell ref="A86:E86"/>
    <mergeCell ref="A81:F81"/>
    <mergeCell ref="A100:E100"/>
  </mergeCells>
  <pageMargins left="0.511811024" right="0.511811024" top="0.78740157499999996" bottom="0.78740157499999996" header="0.31496062000000002" footer="0.31496062000000002"/>
  <pageSetup paperSize="9" fitToHeight="0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8D0EF-2FF2-42F0-80BB-F66524BD399B}">
  <sheetPr>
    <pageSetUpPr fitToPage="1"/>
  </sheetPr>
  <dimension ref="A1:W54"/>
  <sheetViews>
    <sheetView tabSelected="1" view="pageBreakPreview" zoomScale="80" zoomScaleNormal="84" zoomScaleSheetLayoutView="80" workbookViewId="0">
      <selection activeCell="G42" sqref="G42:H48"/>
    </sheetView>
  </sheetViews>
  <sheetFormatPr defaultRowHeight="14.5"/>
  <cols>
    <col min="1" max="1" width="6.81640625" style="5" customWidth="1"/>
    <col min="2" max="2" width="11.81640625" customWidth="1"/>
    <col min="3" max="3" width="9.81640625" style="5" customWidth="1"/>
    <col min="4" max="4" width="42.54296875" style="1" customWidth="1"/>
    <col min="5" max="5" width="8.81640625" style="5" bestFit="1" customWidth="1"/>
    <col min="6" max="6" width="11" style="5" bestFit="1" customWidth="1"/>
    <col min="7" max="7" width="13" style="48" bestFit="1" customWidth="1"/>
    <col min="8" max="8" width="13.453125" style="14" bestFit="1" customWidth="1"/>
    <col min="9" max="9" width="15.1796875" style="3" bestFit="1" customWidth="1"/>
    <col min="10" max="10" width="13.81640625" style="6" bestFit="1" customWidth="1"/>
    <col min="11" max="11" width="11.81640625" style="4" bestFit="1" customWidth="1"/>
    <col min="12" max="12" width="12.81640625" bestFit="1" customWidth="1"/>
    <col min="13" max="13" width="8.81640625" style="7"/>
  </cols>
  <sheetData>
    <row r="1" spans="1:13" ht="84" customHeight="1" thickBot="1">
      <c r="A1" s="210" t="s">
        <v>32</v>
      </c>
      <c r="B1" s="211"/>
      <c r="C1" s="211"/>
      <c r="D1" s="211"/>
      <c r="E1" s="211"/>
      <c r="F1" s="211"/>
      <c r="G1" s="211"/>
      <c r="H1" s="211"/>
      <c r="I1" s="212"/>
      <c r="J1" s="37"/>
      <c r="K1" s="37"/>
    </row>
    <row r="2" spans="1:13" ht="21.5" thickBot="1">
      <c r="A2" s="210"/>
      <c r="B2" s="211"/>
      <c r="C2" s="211"/>
      <c r="D2" s="211"/>
      <c r="E2" s="211"/>
      <c r="F2" s="211"/>
      <c r="G2" s="211"/>
      <c r="H2" s="211"/>
      <c r="I2" s="212"/>
      <c r="J2" s="37"/>
      <c r="K2" s="37"/>
    </row>
    <row r="3" spans="1:13" ht="21.5" thickBot="1">
      <c r="A3" s="213" t="s">
        <v>168</v>
      </c>
      <c r="B3" s="214"/>
      <c r="C3" s="214"/>
      <c r="D3" s="214"/>
      <c r="E3" s="214"/>
      <c r="F3" s="214"/>
      <c r="G3" s="214"/>
      <c r="H3" s="214"/>
      <c r="I3" s="215"/>
      <c r="J3" s="28"/>
      <c r="K3" s="37"/>
    </row>
    <row r="4" spans="1:13" s="129" customFormat="1" ht="33" customHeight="1" thickBot="1">
      <c r="A4" s="207" t="s">
        <v>112</v>
      </c>
      <c r="B4" s="208"/>
      <c r="C4" s="208"/>
      <c r="D4" s="208"/>
      <c r="E4" s="208"/>
      <c r="F4" s="208"/>
      <c r="G4" s="208"/>
      <c r="H4" s="208"/>
      <c r="I4" s="209"/>
      <c r="J4" s="127"/>
      <c r="K4" s="128"/>
      <c r="M4" s="130"/>
    </row>
    <row r="5" spans="1:13" ht="21.5" thickBot="1">
      <c r="A5" s="213" t="s">
        <v>170</v>
      </c>
      <c r="B5" s="214"/>
      <c r="C5" s="214"/>
      <c r="D5" s="214"/>
      <c r="E5" s="214"/>
      <c r="F5" s="214"/>
      <c r="G5" s="214"/>
      <c r="H5" s="214"/>
      <c r="I5" s="215"/>
      <c r="J5" s="28"/>
      <c r="K5" s="37"/>
    </row>
    <row r="6" spans="1:13" ht="21.5" thickBot="1">
      <c r="A6" s="43" t="s">
        <v>41</v>
      </c>
      <c r="B6" s="216">
        <v>0.23380000000000001</v>
      </c>
      <c r="C6" s="216"/>
      <c r="D6" s="216"/>
      <c r="E6" s="216"/>
      <c r="F6" s="216"/>
      <c r="G6" s="216"/>
      <c r="H6" s="216"/>
      <c r="I6" s="217"/>
      <c r="J6" s="28"/>
      <c r="K6" s="37"/>
    </row>
    <row r="7" spans="1:13" ht="21.5" thickBot="1">
      <c r="A7" s="59"/>
      <c r="B7" s="60"/>
      <c r="C7" s="60"/>
      <c r="D7" s="60"/>
      <c r="E7" s="60"/>
      <c r="F7" s="60"/>
      <c r="G7" s="44"/>
      <c r="H7" s="40"/>
      <c r="I7" s="61"/>
      <c r="J7" s="39"/>
      <c r="K7" s="37"/>
    </row>
    <row r="8" spans="1:13" ht="26.5">
      <c r="A8" s="218" t="s">
        <v>3</v>
      </c>
      <c r="B8" s="220" t="s">
        <v>4</v>
      </c>
      <c r="C8" s="220" t="s">
        <v>0</v>
      </c>
      <c r="D8" s="222" t="s">
        <v>6</v>
      </c>
      <c r="E8" s="224" t="s">
        <v>5</v>
      </c>
      <c r="F8" s="282" t="s">
        <v>37</v>
      </c>
      <c r="G8" s="230" t="s">
        <v>8</v>
      </c>
      <c r="H8" s="69" t="s">
        <v>9</v>
      </c>
      <c r="I8" s="232" t="s">
        <v>38</v>
      </c>
      <c r="J8" s="227"/>
      <c r="K8" s="229"/>
    </row>
    <row r="9" spans="1:13">
      <c r="A9" s="219"/>
      <c r="B9" s="221"/>
      <c r="C9" s="221"/>
      <c r="D9" s="223"/>
      <c r="E9" s="225"/>
      <c r="F9" s="283"/>
      <c r="G9" s="231"/>
      <c r="H9" s="70">
        <v>0.23380000000000001</v>
      </c>
      <c r="I9" s="233"/>
      <c r="J9" s="227"/>
      <c r="K9" s="229"/>
      <c r="L9">
        <v>1.2338</v>
      </c>
      <c r="M9" s="42">
        <v>1.2338</v>
      </c>
    </row>
    <row r="10" spans="1:13" ht="22.5" customHeight="1">
      <c r="A10" s="253" t="s">
        <v>86</v>
      </c>
      <c r="B10" s="254"/>
      <c r="C10" s="254"/>
      <c r="D10" s="254"/>
      <c r="E10" s="254"/>
      <c r="F10" s="254"/>
      <c r="G10" s="254"/>
      <c r="H10" s="254"/>
      <c r="I10" s="255"/>
      <c r="J10" s="75"/>
      <c r="K10" s="76"/>
      <c r="M10" s="42"/>
    </row>
    <row r="11" spans="1:13">
      <c r="A11" s="63" t="s">
        <v>49</v>
      </c>
      <c r="B11" s="64"/>
      <c r="C11" s="29"/>
      <c r="D11" s="30" t="s">
        <v>53</v>
      </c>
      <c r="E11" s="31"/>
      <c r="F11" s="68"/>
      <c r="G11" s="45"/>
      <c r="H11" s="32"/>
      <c r="I11" s="66"/>
      <c r="J11" s="75"/>
      <c r="K11" s="76"/>
    </row>
    <row r="12" spans="1:13" ht="26.5">
      <c r="A12" s="34" t="s">
        <v>62</v>
      </c>
      <c r="B12" s="22" t="s">
        <v>50</v>
      </c>
      <c r="C12" s="33" t="s">
        <v>2</v>
      </c>
      <c r="D12" s="67" t="s">
        <v>11</v>
      </c>
      <c r="E12" s="20" t="s">
        <v>48</v>
      </c>
      <c r="F12" s="17">
        <v>2</v>
      </c>
      <c r="G12" s="46"/>
      <c r="H12" s="25"/>
      <c r="I12" s="35">
        <f>ROUND(F12*H12,2)</f>
        <v>0</v>
      </c>
      <c r="J12" s="75"/>
      <c r="K12" s="76"/>
    </row>
    <row r="13" spans="1:13" ht="25" hidden="1" customHeight="1">
      <c r="A13" s="236" t="s">
        <v>113</v>
      </c>
      <c r="B13" s="237"/>
      <c r="C13" s="237"/>
      <c r="D13" s="237"/>
      <c r="E13" s="278"/>
      <c r="F13" s="108">
        <v>2</v>
      </c>
      <c r="G13" s="106"/>
      <c r="H13" s="106"/>
      <c r="I13" s="107"/>
      <c r="J13" s="75"/>
      <c r="K13" s="76"/>
    </row>
    <row r="14" spans="1:13">
      <c r="A14" s="34" t="s">
        <v>63</v>
      </c>
      <c r="B14" s="22" t="s">
        <v>50</v>
      </c>
      <c r="C14" s="33" t="s">
        <v>12</v>
      </c>
      <c r="D14" s="67" t="s">
        <v>1</v>
      </c>
      <c r="E14" s="20" t="s">
        <v>33</v>
      </c>
      <c r="F14" s="17">
        <v>5.25</v>
      </c>
      <c r="G14" s="46"/>
      <c r="H14" s="25"/>
      <c r="I14" s="35">
        <f>ROUND(F14*H14,2)</f>
        <v>0</v>
      </c>
      <c r="J14" s="75"/>
      <c r="K14" s="76"/>
    </row>
    <row r="15" spans="1:13" ht="25" hidden="1" customHeight="1">
      <c r="A15" s="236" t="s">
        <v>100</v>
      </c>
      <c r="B15" s="237"/>
      <c r="C15" s="237"/>
      <c r="D15" s="237"/>
      <c r="E15" s="278"/>
      <c r="F15" s="108">
        <v>5.25</v>
      </c>
      <c r="G15" s="106"/>
      <c r="H15" s="106"/>
      <c r="I15" s="107"/>
      <c r="J15" s="75"/>
      <c r="K15" s="76"/>
    </row>
    <row r="16" spans="1:13" ht="15" thickBot="1">
      <c r="A16" s="77"/>
      <c r="B16" s="78"/>
      <c r="C16" s="79"/>
      <c r="D16" s="80"/>
      <c r="E16" s="51"/>
      <c r="F16" s="81"/>
      <c r="G16" s="47"/>
      <c r="H16" s="41"/>
      <c r="I16" s="52"/>
      <c r="J16" s="75"/>
      <c r="K16" s="76"/>
    </row>
    <row r="17" spans="1:13" ht="15" thickBot="1">
      <c r="A17" s="249" t="s">
        <v>64</v>
      </c>
      <c r="B17" s="250"/>
      <c r="C17" s="250"/>
      <c r="D17" s="250"/>
      <c r="E17" s="250"/>
      <c r="F17" s="250"/>
      <c r="G17" s="250"/>
      <c r="H17" s="260"/>
      <c r="I17" s="113">
        <f>SUM(I12:I16)</f>
        <v>0</v>
      </c>
      <c r="J17" s="75"/>
      <c r="K17" s="76"/>
    </row>
    <row r="18" spans="1:13" ht="15" thickBot="1">
      <c r="A18" s="114"/>
      <c r="B18" s="115"/>
      <c r="C18" s="115"/>
      <c r="D18" s="115"/>
      <c r="E18" s="115"/>
      <c r="F18" s="115"/>
      <c r="G18" s="115"/>
      <c r="H18" s="115"/>
      <c r="I18" s="116"/>
      <c r="J18" s="75"/>
      <c r="K18" s="76"/>
    </row>
    <row r="19" spans="1:13" ht="26" customHeight="1" thickBot="1">
      <c r="A19" s="279" t="s">
        <v>51</v>
      </c>
      <c r="B19" s="280"/>
      <c r="C19" s="280"/>
      <c r="D19" s="280"/>
      <c r="E19" s="280"/>
      <c r="F19" s="280"/>
      <c r="G19" s="280"/>
      <c r="H19" s="281"/>
      <c r="I19" s="199">
        <f>I17</f>
        <v>0</v>
      </c>
      <c r="J19" s="75"/>
      <c r="K19" s="76"/>
    </row>
    <row r="20" spans="1:13" s="2" customFormat="1" ht="15.75" customHeight="1">
      <c r="A20" s="71"/>
      <c r="B20" s="72"/>
      <c r="C20" s="72"/>
      <c r="D20" s="72"/>
      <c r="E20" s="72"/>
      <c r="F20" s="74"/>
      <c r="G20" s="73"/>
      <c r="H20" s="72"/>
      <c r="I20" s="36"/>
      <c r="K20" s="38" t="s">
        <v>39</v>
      </c>
      <c r="L20" s="2" t="s">
        <v>40</v>
      </c>
      <c r="M20" s="8"/>
    </row>
    <row r="21" spans="1:13" s="2" customFormat="1" ht="29.5" customHeight="1">
      <c r="A21" s="241" t="s">
        <v>114</v>
      </c>
      <c r="B21" s="242"/>
      <c r="C21" s="242"/>
      <c r="D21" s="242"/>
      <c r="E21" s="242"/>
      <c r="F21" s="242"/>
      <c r="G21" s="242"/>
      <c r="H21" s="242"/>
      <c r="I21" s="243"/>
      <c r="K21" s="38"/>
      <c r="M21" s="8"/>
    </row>
    <row r="22" spans="1:13" s="2" customFormat="1" ht="26.5">
      <c r="A22" s="63" t="s">
        <v>54</v>
      </c>
      <c r="B22" s="64"/>
      <c r="C22" s="29"/>
      <c r="D22" s="30" t="s">
        <v>59</v>
      </c>
      <c r="E22" s="31"/>
      <c r="F22" s="68"/>
      <c r="G22" s="45"/>
      <c r="H22" s="32"/>
      <c r="I22" s="66"/>
      <c r="K22" s="38"/>
      <c r="M22" s="8"/>
    </row>
    <row r="23" spans="1:13" ht="38" customHeight="1">
      <c r="A23" s="34" t="s">
        <v>65</v>
      </c>
      <c r="B23" s="62" t="s">
        <v>50</v>
      </c>
      <c r="C23" s="50" t="s">
        <v>13</v>
      </c>
      <c r="D23" s="67" t="s">
        <v>14</v>
      </c>
      <c r="E23" s="20" t="s">
        <v>33</v>
      </c>
      <c r="F23" s="17">
        <v>119.43</v>
      </c>
      <c r="G23" s="46"/>
      <c r="H23" s="25"/>
      <c r="I23" s="26">
        <f>ROUND(F23*H23,2)</f>
        <v>0</v>
      </c>
      <c r="J23" s="75"/>
      <c r="K23" s="76"/>
    </row>
    <row r="24" spans="1:13" s="2" customFormat="1" ht="38" hidden="1" customHeight="1">
      <c r="A24" s="236" t="s">
        <v>117</v>
      </c>
      <c r="B24" s="237"/>
      <c r="C24" s="237"/>
      <c r="D24" s="237"/>
      <c r="E24" s="278"/>
      <c r="F24" s="108">
        <v>119.43</v>
      </c>
      <c r="G24" s="106"/>
      <c r="H24" s="106"/>
      <c r="I24" s="107"/>
      <c r="K24" s="38"/>
      <c r="M24" s="8"/>
    </row>
    <row r="25" spans="1:13" ht="38" customHeight="1">
      <c r="A25" s="34" t="s">
        <v>66</v>
      </c>
      <c r="B25" s="62" t="s">
        <v>50</v>
      </c>
      <c r="C25" s="50" t="s">
        <v>18</v>
      </c>
      <c r="D25" s="67" t="s">
        <v>19</v>
      </c>
      <c r="E25" s="20" t="s">
        <v>33</v>
      </c>
      <c r="F25" s="17">
        <v>386.25</v>
      </c>
      <c r="G25" s="46"/>
      <c r="H25" s="25"/>
      <c r="I25" s="26">
        <f>ROUND(F25*H25,2)</f>
        <v>0</v>
      </c>
      <c r="J25" s="75"/>
      <c r="K25" s="76"/>
    </row>
    <row r="26" spans="1:13" s="2" customFormat="1" ht="38" hidden="1" customHeight="1">
      <c r="A26" s="236" t="s">
        <v>117</v>
      </c>
      <c r="B26" s="237"/>
      <c r="C26" s="237"/>
      <c r="D26" s="237"/>
      <c r="E26" s="278"/>
      <c r="F26" s="108">
        <v>386.25</v>
      </c>
      <c r="G26" s="106"/>
      <c r="H26" s="106"/>
      <c r="I26" s="107"/>
      <c r="K26" s="38"/>
      <c r="M26" s="8"/>
    </row>
    <row r="27" spans="1:13" ht="38" customHeight="1">
      <c r="A27" s="34" t="s">
        <v>67</v>
      </c>
      <c r="B27" s="62" t="s">
        <v>50</v>
      </c>
      <c r="C27" s="50" t="s">
        <v>30</v>
      </c>
      <c r="D27" s="67" t="s">
        <v>31</v>
      </c>
      <c r="E27" s="20" t="s">
        <v>36</v>
      </c>
      <c r="F27" s="17">
        <v>4.88</v>
      </c>
      <c r="G27" s="46"/>
      <c r="H27" s="25"/>
      <c r="I27" s="26">
        <f>ROUND(F27*H27,2)</f>
        <v>0</v>
      </c>
      <c r="J27" s="75"/>
      <c r="K27" s="76"/>
    </row>
    <row r="28" spans="1:13" s="2" customFormat="1" ht="38" hidden="1" customHeight="1">
      <c r="A28" s="236" t="s">
        <v>118</v>
      </c>
      <c r="B28" s="237"/>
      <c r="C28" s="237"/>
      <c r="D28" s="237"/>
      <c r="E28" s="278"/>
      <c r="F28" s="108">
        <v>29.75</v>
      </c>
      <c r="G28" s="106"/>
      <c r="H28" s="106"/>
      <c r="I28" s="107"/>
      <c r="K28" s="38"/>
      <c r="M28" s="8"/>
    </row>
    <row r="29" spans="1:13" ht="25" customHeight="1">
      <c r="A29" s="34" t="s">
        <v>68</v>
      </c>
      <c r="B29" s="62" t="s">
        <v>50</v>
      </c>
      <c r="C29" s="50" t="s">
        <v>20</v>
      </c>
      <c r="D29" s="24" t="s">
        <v>21</v>
      </c>
      <c r="E29" s="20" t="s">
        <v>36</v>
      </c>
      <c r="F29" s="17">
        <v>115.88</v>
      </c>
      <c r="G29" s="46"/>
      <c r="H29" s="25"/>
      <c r="I29" s="26">
        <f>ROUND(F29*H29,2)</f>
        <v>0</v>
      </c>
      <c r="J29" s="75"/>
      <c r="K29" s="76"/>
    </row>
    <row r="30" spans="1:13" s="2" customFormat="1" ht="38" hidden="1" customHeight="1">
      <c r="A30" s="236" t="s">
        <v>119</v>
      </c>
      <c r="B30" s="237"/>
      <c r="C30" s="237"/>
      <c r="D30" s="237"/>
      <c r="E30" s="278"/>
      <c r="F30" s="108">
        <v>115.88</v>
      </c>
      <c r="G30" s="106"/>
      <c r="H30" s="106"/>
      <c r="I30" s="107"/>
      <c r="K30" s="38"/>
      <c r="M30" s="8"/>
    </row>
    <row r="31" spans="1:13" ht="34.5" customHeight="1">
      <c r="A31" s="34" t="s">
        <v>69</v>
      </c>
      <c r="B31" s="62" t="s">
        <v>50</v>
      </c>
      <c r="C31" s="50" t="s">
        <v>22</v>
      </c>
      <c r="D31" s="67" t="s">
        <v>23</v>
      </c>
      <c r="E31" s="20" t="s">
        <v>36</v>
      </c>
      <c r="F31" s="17">
        <v>19.309999999999999</v>
      </c>
      <c r="G31" s="46"/>
      <c r="H31" s="25"/>
      <c r="I31" s="26">
        <f t="shared" ref="I31:I35" si="0">ROUND(F31*H31,2)</f>
        <v>0</v>
      </c>
      <c r="J31" s="75"/>
      <c r="K31" s="76"/>
    </row>
    <row r="32" spans="1:13" s="2" customFormat="1" ht="37" hidden="1" customHeight="1">
      <c r="A32" s="236" t="s">
        <v>120</v>
      </c>
      <c r="B32" s="237"/>
      <c r="C32" s="237"/>
      <c r="D32" s="237"/>
      <c r="E32" s="278"/>
      <c r="F32" s="108">
        <v>19.309999999999999</v>
      </c>
      <c r="G32" s="106"/>
      <c r="H32" s="106"/>
      <c r="I32" s="107"/>
      <c r="K32" s="38"/>
      <c r="M32" s="8"/>
    </row>
    <row r="33" spans="1:23" ht="39" customHeight="1">
      <c r="A33" s="34" t="s">
        <v>70</v>
      </c>
      <c r="B33" s="62" t="s">
        <v>50</v>
      </c>
      <c r="C33" s="50" t="s">
        <v>24</v>
      </c>
      <c r="D33" s="24" t="s">
        <v>25</v>
      </c>
      <c r="E33" s="20" t="s">
        <v>33</v>
      </c>
      <c r="F33" s="17">
        <v>386.25</v>
      </c>
      <c r="G33" s="46"/>
      <c r="H33" s="25"/>
      <c r="I33" s="26">
        <f t="shared" si="0"/>
        <v>0</v>
      </c>
      <c r="J33" s="75"/>
      <c r="K33" s="76"/>
    </row>
    <row r="34" spans="1:23" s="2" customFormat="1" ht="24.5" hidden="1" customHeight="1">
      <c r="A34" s="236" t="s">
        <v>121</v>
      </c>
      <c r="B34" s="237"/>
      <c r="C34" s="237"/>
      <c r="D34" s="237"/>
      <c r="E34" s="278"/>
      <c r="F34" s="108">
        <v>386.25</v>
      </c>
      <c r="G34" s="106"/>
      <c r="H34" s="106"/>
      <c r="I34" s="107"/>
      <c r="K34" s="57">
        <f>SUM(F25:F35)</f>
        <v>2236.2599999999998</v>
      </c>
      <c r="M34" s="8"/>
    </row>
    <row r="35" spans="1:23" ht="25" customHeight="1">
      <c r="A35" s="34" t="s">
        <v>71</v>
      </c>
      <c r="B35" s="62" t="s">
        <v>50</v>
      </c>
      <c r="C35" s="50" t="s">
        <v>26</v>
      </c>
      <c r="D35" s="24" t="s">
        <v>27</v>
      </c>
      <c r="E35" s="20" t="s">
        <v>33</v>
      </c>
      <c r="F35" s="17">
        <v>386.25</v>
      </c>
      <c r="G35" s="46"/>
      <c r="H35" s="25"/>
      <c r="I35" s="26">
        <f t="shared" si="0"/>
        <v>0</v>
      </c>
      <c r="J35" s="75"/>
      <c r="K35" s="76"/>
    </row>
    <row r="36" spans="1:23" s="2" customFormat="1" ht="26" hidden="1" customHeight="1">
      <c r="A36" s="236" t="s">
        <v>122</v>
      </c>
      <c r="B36" s="237"/>
      <c r="C36" s="237"/>
      <c r="D36" s="237"/>
      <c r="E36" s="278"/>
      <c r="F36" s="108">
        <v>386.25</v>
      </c>
      <c r="G36" s="106"/>
      <c r="H36" s="106"/>
      <c r="I36" s="107"/>
      <c r="K36" s="38"/>
      <c r="M36" s="8"/>
    </row>
    <row r="37" spans="1:23" ht="25" customHeight="1">
      <c r="A37" s="34" t="s">
        <v>138</v>
      </c>
      <c r="B37" s="62" t="s">
        <v>50</v>
      </c>
      <c r="C37" s="50" t="s">
        <v>28</v>
      </c>
      <c r="D37" s="24" t="s">
        <v>29</v>
      </c>
      <c r="E37" s="20" t="s">
        <v>34</v>
      </c>
      <c r="F37" s="17">
        <v>71.989999999999995</v>
      </c>
      <c r="G37" s="46"/>
      <c r="H37" s="25"/>
      <c r="I37" s="26">
        <f t="shared" ref="I37" si="1">ROUND(F37*H37,2)</f>
        <v>0</v>
      </c>
      <c r="J37" s="75"/>
      <c r="K37" s="76"/>
    </row>
    <row r="38" spans="1:23" s="2" customFormat="1" ht="26" customHeight="1" thickBot="1">
      <c r="A38" s="119"/>
      <c r="B38" s="120"/>
      <c r="C38" s="120"/>
      <c r="D38" s="120"/>
      <c r="E38" s="120"/>
      <c r="F38" s="131"/>
      <c r="G38" s="121"/>
      <c r="H38" s="121"/>
      <c r="I38" s="122"/>
      <c r="K38" s="38"/>
      <c r="M38" s="8"/>
    </row>
    <row r="39" spans="1:23" s="2" customFormat="1" ht="26" customHeight="1" thickBot="1">
      <c r="A39" s="249" t="s">
        <v>92</v>
      </c>
      <c r="B39" s="250"/>
      <c r="C39" s="250"/>
      <c r="D39" s="250"/>
      <c r="E39" s="250"/>
      <c r="F39" s="250"/>
      <c r="G39" s="250"/>
      <c r="H39" s="260"/>
      <c r="I39" s="95">
        <f>SUM(I23:I37)</f>
        <v>0</v>
      </c>
      <c r="K39" s="38"/>
      <c r="M39" s="8"/>
    </row>
    <row r="40" spans="1:23" s="7" customFormat="1" ht="16.5" customHeight="1">
      <c r="A40" s="110"/>
      <c r="B40" s="109"/>
      <c r="C40" s="109"/>
      <c r="D40" s="109"/>
      <c r="E40" s="109"/>
      <c r="F40" s="118"/>
      <c r="G40" s="106"/>
      <c r="H40" s="106"/>
      <c r="I40" s="107"/>
      <c r="J40" s="27"/>
      <c r="K40" s="38"/>
      <c r="L40"/>
      <c r="N40"/>
      <c r="O40"/>
      <c r="P40"/>
      <c r="Q40"/>
      <c r="R40"/>
      <c r="S40"/>
      <c r="T40"/>
      <c r="U40"/>
      <c r="V40"/>
      <c r="W40"/>
    </row>
    <row r="41" spans="1:23" s="7" customFormat="1">
      <c r="A41" s="54" t="s">
        <v>55</v>
      </c>
      <c r="B41" s="18"/>
      <c r="C41" s="23"/>
      <c r="D41" s="19" t="s">
        <v>58</v>
      </c>
      <c r="E41" s="23"/>
      <c r="F41" s="55"/>
      <c r="G41" s="21"/>
      <c r="H41" s="56"/>
      <c r="I41" s="36"/>
      <c r="J41" s="27"/>
      <c r="K41" s="38"/>
      <c r="L41"/>
      <c r="N41"/>
      <c r="O41"/>
      <c r="P41"/>
      <c r="Q41"/>
      <c r="R41"/>
      <c r="S41"/>
      <c r="T41"/>
      <c r="U41"/>
      <c r="V41"/>
      <c r="W41"/>
    </row>
    <row r="42" spans="1:23" ht="46.75" customHeight="1">
      <c r="A42" s="99" t="s">
        <v>87</v>
      </c>
      <c r="B42" s="88" t="s">
        <v>50</v>
      </c>
      <c r="C42" s="89" t="s">
        <v>43</v>
      </c>
      <c r="D42" s="90" t="s">
        <v>44</v>
      </c>
      <c r="E42" s="91" t="s">
        <v>33</v>
      </c>
      <c r="F42" s="92">
        <v>80.099999999999994</v>
      </c>
      <c r="G42" s="93"/>
      <c r="H42" s="94"/>
      <c r="I42" s="82">
        <f>ROUND(F42*H42,2)</f>
        <v>0</v>
      </c>
      <c r="J42" s="75"/>
      <c r="K42" s="76"/>
    </row>
    <row r="43" spans="1:23" s="7" customFormat="1" ht="30.65" hidden="1" customHeight="1">
      <c r="A43" s="236" t="s">
        <v>124</v>
      </c>
      <c r="B43" s="237"/>
      <c r="C43" s="237"/>
      <c r="D43" s="237"/>
      <c r="E43" s="278"/>
      <c r="F43" s="108">
        <v>80.099999999999994</v>
      </c>
      <c r="G43" s="106"/>
      <c r="H43" s="106"/>
      <c r="I43" s="107"/>
      <c r="J43" s="27"/>
      <c r="K43" s="38"/>
      <c r="L43"/>
      <c r="N43"/>
      <c r="O43"/>
      <c r="P43"/>
      <c r="Q43"/>
      <c r="R43"/>
      <c r="S43"/>
      <c r="T43"/>
      <c r="U43"/>
      <c r="V43"/>
      <c r="W43"/>
    </row>
    <row r="44" spans="1:23" ht="28" customHeight="1">
      <c r="A44" s="99" t="s">
        <v>88</v>
      </c>
      <c r="B44" s="88" t="s">
        <v>50</v>
      </c>
      <c r="C44" s="89" t="s">
        <v>42</v>
      </c>
      <c r="D44" s="90" t="s">
        <v>17</v>
      </c>
      <c r="E44" s="91" t="s">
        <v>34</v>
      </c>
      <c r="F44" s="92">
        <v>1</v>
      </c>
      <c r="G44" s="93"/>
      <c r="H44" s="94"/>
      <c r="I44" s="82">
        <f>ROUND(F44*H44,2)</f>
        <v>0</v>
      </c>
      <c r="J44" s="75"/>
      <c r="K44" s="76"/>
    </row>
    <row r="45" spans="1:23" s="7" customFormat="1" ht="34" hidden="1" customHeight="1">
      <c r="A45" s="236" t="s">
        <v>123</v>
      </c>
      <c r="B45" s="237"/>
      <c r="C45" s="237"/>
      <c r="D45" s="237"/>
      <c r="E45" s="278"/>
      <c r="F45" s="108">
        <v>0.5</v>
      </c>
      <c r="G45" s="106"/>
      <c r="H45" s="106"/>
      <c r="I45" s="107"/>
      <c r="J45" s="27"/>
      <c r="K45" s="38"/>
      <c r="L45"/>
      <c r="N45"/>
      <c r="O45"/>
      <c r="P45"/>
      <c r="Q45"/>
      <c r="R45"/>
      <c r="S45"/>
      <c r="T45"/>
      <c r="U45"/>
      <c r="V45"/>
      <c r="W45"/>
    </row>
    <row r="46" spans="1:23" ht="25" customHeight="1">
      <c r="A46" s="99" t="s">
        <v>89</v>
      </c>
      <c r="B46" s="88" t="s">
        <v>50</v>
      </c>
      <c r="C46" s="58" t="s">
        <v>47</v>
      </c>
      <c r="D46" s="90" t="s">
        <v>52</v>
      </c>
      <c r="E46" s="91" t="s">
        <v>35</v>
      </c>
      <c r="F46" s="92">
        <v>2</v>
      </c>
      <c r="G46" s="93"/>
      <c r="H46" s="94"/>
      <c r="I46" s="82">
        <f>ROUND(F46*H46,2)</f>
        <v>0</v>
      </c>
      <c r="J46" s="75"/>
      <c r="K46" s="76"/>
    </row>
    <row r="47" spans="1:23" s="7" customFormat="1" ht="30" hidden="1" customHeight="1">
      <c r="A47" s="236" t="s">
        <v>125</v>
      </c>
      <c r="B47" s="237"/>
      <c r="C47" s="237"/>
      <c r="D47" s="237"/>
      <c r="E47" s="278"/>
      <c r="F47" s="108">
        <v>1</v>
      </c>
      <c r="G47" s="106"/>
      <c r="H47" s="106"/>
      <c r="I47" s="107"/>
      <c r="J47" s="27"/>
      <c r="K47" s="38"/>
      <c r="L47"/>
      <c r="N47"/>
      <c r="O47"/>
      <c r="P47"/>
      <c r="Q47"/>
      <c r="R47"/>
      <c r="S47"/>
      <c r="T47"/>
      <c r="U47"/>
      <c r="V47"/>
      <c r="W47"/>
    </row>
    <row r="48" spans="1:23" ht="36" customHeight="1">
      <c r="A48" s="99" t="s">
        <v>90</v>
      </c>
      <c r="B48" s="62" t="s">
        <v>50</v>
      </c>
      <c r="C48" s="20" t="s">
        <v>45</v>
      </c>
      <c r="D48" s="24" t="s">
        <v>46</v>
      </c>
      <c r="E48" s="85" t="s">
        <v>33</v>
      </c>
      <c r="F48" s="86">
        <v>0.28999999999999998</v>
      </c>
      <c r="G48" s="87"/>
      <c r="H48" s="25"/>
      <c r="I48" s="35">
        <f>ROUND(F48*H48,2)</f>
        <v>0</v>
      </c>
      <c r="J48" s="75"/>
      <c r="K48" s="76"/>
    </row>
    <row r="49" spans="1:23" s="7" customFormat="1" ht="24" hidden="1" customHeight="1">
      <c r="A49" s="236" t="s">
        <v>126</v>
      </c>
      <c r="B49" s="237"/>
      <c r="C49" s="237"/>
      <c r="D49" s="237"/>
      <c r="E49" s="278"/>
      <c r="F49" s="108">
        <v>0.18</v>
      </c>
      <c r="G49" s="106"/>
      <c r="H49" s="106"/>
      <c r="I49" s="107"/>
      <c r="J49" s="27"/>
      <c r="K49" s="38"/>
      <c r="L49"/>
      <c r="N49"/>
      <c r="O49"/>
      <c r="P49"/>
      <c r="Q49"/>
      <c r="R49"/>
      <c r="S49"/>
      <c r="T49"/>
      <c r="U49"/>
      <c r="V49"/>
      <c r="W49"/>
    </row>
    <row r="50" spans="1:23" ht="15" thickBot="1">
      <c r="A50" s="100"/>
      <c r="B50" s="101"/>
      <c r="C50" s="51"/>
      <c r="D50" s="102"/>
      <c r="E50" s="103"/>
      <c r="F50" s="104"/>
      <c r="G50" s="105"/>
      <c r="H50" s="41"/>
      <c r="I50" s="52"/>
      <c r="J50" s="27"/>
      <c r="K50" s="38"/>
    </row>
    <row r="51" spans="1:23" s="2" customFormat="1" ht="15.75" customHeight="1" thickBot="1">
      <c r="A51" s="249" t="s">
        <v>91</v>
      </c>
      <c r="B51" s="250"/>
      <c r="C51" s="250"/>
      <c r="D51" s="250"/>
      <c r="E51" s="250"/>
      <c r="F51" s="250"/>
      <c r="G51" s="250"/>
      <c r="H51" s="260"/>
      <c r="I51" s="95">
        <f>SUM(I42:I48)</f>
        <v>0</v>
      </c>
      <c r="K51" s="38"/>
      <c r="M51" s="8"/>
    </row>
    <row r="52" spans="1:23" ht="20" customHeight="1" thickBot="1">
      <c r="A52" s="123"/>
      <c r="B52" s="124"/>
      <c r="C52" s="124"/>
      <c r="D52" s="124"/>
      <c r="E52" s="124"/>
      <c r="F52" s="125"/>
      <c r="G52" s="126"/>
      <c r="H52" s="124"/>
      <c r="I52" s="83"/>
      <c r="J52" s="27"/>
      <c r="K52" s="38"/>
    </row>
    <row r="53" spans="1:23" ht="20" customHeight="1" thickBot="1">
      <c r="A53" s="279" t="s">
        <v>51</v>
      </c>
      <c r="B53" s="280"/>
      <c r="C53" s="280"/>
      <c r="D53" s="280"/>
      <c r="E53" s="280"/>
      <c r="F53" s="280"/>
      <c r="G53" s="280"/>
      <c r="H53" s="281"/>
      <c r="I53" s="198">
        <f>SUM(I39+I51)</f>
        <v>0</v>
      </c>
      <c r="J53" s="27"/>
      <c r="K53" s="38"/>
    </row>
    <row r="54" spans="1:23">
      <c r="A54" s="111"/>
      <c r="B54" s="112"/>
      <c r="C54" s="112"/>
      <c r="D54" s="112"/>
      <c r="E54" s="112"/>
      <c r="F54" s="112"/>
      <c r="G54" s="112"/>
      <c r="H54" s="112"/>
      <c r="I54" s="117"/>
    </row>
  </sheetData>
  <mergeCells count="36">
    <mergeCell ref="A53:H53"/>
    <mergeCell ref="A32:E32"/>
    <mergeCell ref="A45:E45"/>
    <mergeCell ref="A47:E47"/>
    <mergeCell ref="A49:E49"/>
    <mergeCell ref="A51:H51"/>
    <mergeCell ref="A43:E43"/>
    <mergeCell ref="A39:H39"/>
    <mergeCell ref="J8:J9"/>
    <mergeCell ref="K8:K9"/>
    <mergeCell ref="A13:E13"/>
    <mergeCell ref="F8:F9"/>
    <mergeCell ref="A26:E26"/>
    <mergeCell ref="A10:I10"/>
    <mergeCell ref="A15:E15"/>
    <mergeCell ref="A8:A9"/>
    <mergeCell ref="B8:B9"/>
    <mergeCell ref="C8:C9"/>
    <mergeCell ref="D8:D9"/>
    <mergeCell ref="E8:E9"/>
    <mergeCell ref="G8:G9"/>
    <mergeCell ref="I8:I9"/>
    <mergeCell ref="A21:I21"/>
    <mergeCell ref="A19:H19"/>
    <mergeCell ref="B6:I6"/>
    <mergeCell ref="A1:I1"/>
    <mergeCell ref="A2:I2"/>
    <mergeCell ref="A3:I3"/>
    <mergeCell ref="A4:I4"/>
    <mergeCell ref="A5:I5"/>
    <mergeCell ref="A17:H17"/>
    <mergeCell ref="A30:E30"/>
    <mergeCell ref="A34:E34"/>
    <mergeCell ref="A36:E36"/>
    <mergeCell ref="A24:E24"/>
    <mergeCell ref="A28:E28"/>
  </mergeCells>
  <conditionalFormatting sqref="C46">
    <cfRule type="expression" dxfId="2" priority="1" stopIfTrue="1">
      <formula>I46&lt;6</formula>
    </cfRule>
  </conditionalFormatting>
  <printOptions horizontalCentered="1"/>
  <pageMargins left="0.31496062992125984" right="0.35433070866141736" top="1.2204724409448819" bottom="1.0236220472440944" header="3.937007874015748E-2" footer="3.937007874015748E-2"/>
  <pageSetup paperSize="9" scale="64" fitToWidth="0" orientation="portrait" r:id="rId1"/>
  <headerFooter>
    <oddHeader>&amp;L&amp;G&amp;C&amp;"-,Negrito"&amp;16PREFEITURA MUNICIPAL DE POTIM&amp;"-,Regular"&amp;11
&amp;12“TERRA DO ARTESANATO”</oddHeader>
    <oddFooter xml:space="preserve">&amp;CPraça Miguel Corrêa dos Ouros, 101   -   Centro   -   Potim   -   SP   -   CEP  12525-000
Telefax: (12) 3112.9200   -   E-mail: secretaria@potim.sp.gov.br
CNPJ:65.042.855/0001-20     -     I.E.:  Isento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73B56-A412-4D1F-B3B1-C1195E33C3D2}">
  <sheetPr>
    <pageSetUpPr fitToPage="1"/>
  </sheetPr>
  <dimension ref="A1:W30"/>
  <sheetViews>
    <sheetView view="pageBreakPreview" zoomScale="80" zoomScaleNormal="84" zoomScaleSheetLayoutView="80" workbookViewId="0">
      <selection activeCell="G20" sqref="G20:H24"/>
    </sheetView>
  </sheetViews>
  <sheetFormatPr defaultRowHeight="14.5"/>
  <cols>
    <col min="1" max="1" width="6.81640625" style="5" customWidth="1"/>
    <col min="2" max="2" width="11.81640625" customWidth="1"/>
    <col min="3" max="3" width="9.81640625" style="5" customWidth="1"/>
    <col min="4" max="4" width="42.54296875" style="1" customWidth="1"/>
    <col min="5" max="5" width="7.54296875" style="5" customWidth="1"/>
    <col min="6" max="6" width="11" style="5" bestFit="1" customWidth="1"/>
    <col min="7" max="7" width="13" style="48" bestFit="1" customWidth="1"/>
    <col min="8" max="8" width="13.453125" style="14" bestFit="1" customWidth="1"/>
    <col min="9" max="9" width="15.1796875" style="3" bestFit="1" customWidth="1"/>
    <col min="10" max="10" width="13.81640625" style="6" bestFit="1" customWidth="1"/>
    <col min="11" max="11" width="11.81640625" style="4" bestFit="1" customWidth="1"/>
    <col min="12" max="12" width="12.81640625" bestFit="1" customWidth="1"/>
    <col min="13" max="13" width="8.81640625" style="7"/>
  </cols>
  <sheetData>
    <row r="1" spans="1:13" ht="26.5">
      <c r="A1" s="218" t="s">
        <v>3</v>
      </c>
      <c r="B1" s="220" t="s">
        <v>4</v>
      </c>
      <c r="C1" s="220" t="s">
        <v>0</v>
      </c>
      <c r="D1" s="222" t="s">
        <v>6</v>
      </c>
      <c r="E1" s="224" t="s">
        <v>5</v>
      </c>
      <c r="F1" s="251" t="s">
        <v>37</v>
      </c>
      <c r="G1" s="230" t="s">
        <v>8</v>
      </c>
      <c r="H1" s="69" t="s">
        <v>9</v>
      </c>
      <c r="I1" s="256" t="s">
        <v>38</v>
      </c>
      <c r="J1" s="227"/>
      <c r="K1" s="229"/>
    </row>
    <row r="2" spans="1:13">
      <c r="A2" s="219"/>
      <c r="B2" s="221"/>
      <c r="C2" s="221"/>
      <c r="D2" s="223"/>
      <c r="E2" s="225"/>
      <c r="F2" s="252"/>
      <c r="G2" s="231"/>
      <c r="H2" s="70">
        <v>0.23380000000000001</v>
      </c>
      <c r="I2" s="257"/>
      <c r="J2" s="227"/>
      <c r="K2" s="229"/>
      <c r="L2">
        <v>1.2338</v>
      </c>
      <c r="M2" s="42">
        <v>1.2338</v>
      </c>
    </row>
    <row r="3" spans="1:13" s="2" customFormat="1" ht="15.75" customHeight="1">
      <c r="A3" s="238" t="s">
        <v>115</v>
      </c>
      <c r="B3" s="239"/>
      <c r="C3" s="239"/>
      <c r="D3" s="239"/>
      <c r="E3" s="239"/>
      <c r="F3" s="239"/>
      <c r="G3" s="239"/>
      <c r="H3" s="239"/>
      <c r="I3" s="240"/>
      <c r="K3" s="38" t="s">
        <v>39</v>
      </c>
      <c r="L3" s="2" t="s">
        <v>40</v>
      </c>
      <c r="M3" s="8"/>
    </row>
    <row r="4" spans="1:13" s="2" customFormat="1" ht="37.5" customHeight="1">
      <c r="A4" s="63" t="s">
        <v>56</v>
      </c>
      <c r="B4" s="64"/>
      <c r="C4" s="29"/>
      <c r="D4" s="30" t="s">
        <v>59</v>
      </c>
      <c r="E4" s="31"/>
      <c r="F4" s="68"/>
      <c r="G4" s="45"/>
      <c r="H4" s="32"/>
      <c r="I4" s="66"/>
      <c r="K4" s="38"/>
      <c r="M4" s="8"/>
    </row>
    <row r="5" spans="1:13" s="2" customFormat="1" ht="39.5">
      <c r="A5" s="34" t="s">
        <v>72</v>
      </c>
      <c r="B5" s="62" t="s">
        <v>50</v>
      </c>
      <c r="C5" s="20" t="s">
        <v>15</v>
      </c>
      <c r="D5" s="67" t="s">
        <v>16</v>
      </c>
      <c r="E5" s="20" t="s">
        <v>33</v>
      </c>
      <c r="F5" s="53">
        <v>681.43</v>
      </c>
      <c r="G5" s="46"/>
      <c r="H5" s="25"/>
      <c r="I5" s="35">
        <f>ROUND(F5*H5,2)</f>
        <v>0</v>
      </c>
      <c r="K5" s="38"/>
      <c r="M5" s="8"/>
    </row>
    <row r="6" spans="1:13" ht="30" hidden="1" customHeight="1">
      <c r="A6" s="236" t="s">
        <v>94</v>
      </c>
      <c r="B6" s="237"/>
      <c r="C6" s="237"/>
      <c r="D6" s="237"/>
      <c r="E6" s="237"/>
      <c r="F6" s="108">
        <v>681.43</v>
      </c>
      <c r="G6" s="106"/>
      <c r="H6" s="106"/>
      <c r="I6" s="107"/>
      <c r="J6" s="75"/>
      <c r="K6" s="76"/>
    </row>
    <row r="7" spans="1:13" s="2" customFormat="1" ht="26" customHeight="1">
      <c r="A7" s="34" t="s">
        <v>73</v>
      </c>
      <c r="B7" s="62" t="s">
        <v>50</v>
      </c>
      <c r="C7" s="50" t="s">
        <v>22</v>
      </c>
      <c r="D7" s="67" t="s">
        <v>23</v>
      </c>
      <c r="E7" s="20" t="s">
        <v>36</v>
      </c>
      <c r="F7" s="17">
        <v>27.26</v>
      </c>
      <c r="G7" s="46"/>
      <c r="H7" s="25"/>
      <c r="I7" s="26">
        <f t="shared" ref="I7:I9" si="0">ROUND(F7*H7,2)</f>
        <v>0</v>
      </c>
      <c r="K7" s="38"/>
      <c r="M7" s="8"/>
    </row>
    <row r="8" spans="1:13" ht="34.5" hidden="1" customHeight="1">
      <c r="A8" s="236" t="s">
        <v>127</v>
      </c>
      <c r="B8" s="237"/>
      <c r="C8" s="237"/>
      <c r="D8" s="237"/>
      <c r="E8" s="237"/>
      <c r="F8" s="108">
        <v>34.07</v>
      </c>
      <c r="G8" s="106"/>
      <c r="H8" s="106"/>
      <c r="I8" s="107"/>
      <c r="J8" s="75"/>
      <c r="K8" s="76"/>
    </row>
    <row r="9" spans="1:13" s="2" customFormat="1">
      <c r="A9" s="34" t="s">
        <v>74</v>
      </c>
      <c r="B9" s="62" t="s">
        <v>50</v>
      </c>
      <c r="C9" s="50" t="s">
        <v>24</v>
      </c>
      <c r="D9" s="67" t="s">
        <v>25</v>
      </c>
      <c r="E9" s="20" t="s">
        <v>33</v>
      </c>
      <c r="F9" s="17">
        <v>681.43</v>
      </c>
      <c r="G9" s="46"/>
      <c r="H9" s="25"/>
      <c r="I9" s="26">
        <f t="shared" si="0"/>
        <v>0</v>
      </c>
      <c r="K9" s="38"/>
      <c r="M9" s="8"/>
    </row>
    <row r="10" spans="1:13" ht="39" hidden="1" customHeight="1">
      <c r="A10" s="236" t="s">
        <v>130</v>
      </c>
      <c r="B10" s="237"/>
      <c r="C10" s="237"/>
      <c r="D10" s="237"/>
      <c r="E10" s="237"/>
      <c r="F10" s="108">
        <v>681.43</v>
      </c>
      <c r="G10" s="106"/>
      <c r="H10" s="106"/>
      <c r="I10" s="107"/>
      <c r="J10" s="75"/>
      <c r="K10" s="76"/>
    </row>
    <row r="11" spans="1:13" s="2" customFormat="1">
      <c r="A11" s="34" t="s">
        <v>142</v>
      </c>
      <c r="B11" s="62" t="s">
        <v>50</v>
      </c>
      <c r="C11" s="50" t="s">
        <v>28</v>
      </c>
      <c r="D11" s="67" t="s">
        <v>29</v>
      </c>
      <c r="E11" s="20" t="s">
        <v>34</v>
      </c>
      <c r="F11" s="17">
        <v>5.6</v>
      </c>
      <c r="G11" s="46"/>
      <c r="H11" s="25"/>
      <c r="I11" s="26">
        <f t="shared" ref="I11" si="1">ROUND(F11*H11,2)</f>
        <v>0</v>
      </c>
      <c r="K11" s="38"/>
      <c r="M11" s="8"/>
    </row>
    <row r="12" spans="1:13" s="2" customFormat="1" ht="25.5" customHeight="1">
      <c r="A12" s="34" t="s">
        <v>143</v>
      </c>
      <c r="B12" s="62" t="s">
        <v>50</v>
      </c>
      <c r="C12" s="50" t="s">
        <v>30</v>
      </c>
      <c r="D12" s="67" t="s">
        <v>31</v>
      </c>
      <c r="E12" s="20" t="s">
        <v>36</v>
      </c>
      <c r="F12" s="17">
        <v>1.56</v>
      </c>
      <c r="G12" s="46"/>
      <c r="H12" s="25"/>
      <c r="I12" s="26">
        <f t="shared" ref="I12" si="2">ROUND(F12*H12,2)</f>
        <v>0</v>
      </c>
      <c r="K12" s="38"/>
      <c r="M12" s="8"/>
    </row>
    <row r="13" spans="1:13" s="2" customFormat="1" ht="25.5" customHeight="1">
      <c r="A13" s="34" t="s">
        <v>145</v>
      </c>
      <c r="B13" s="62" t="s">
        <v>50</v>
      </c>
      <c r="C13" s="50" t="s">
        <v>13</v>
      </c>
      <c r="D13" s="67" t="s">
        <v>14</v>
      </c>
      <c r="E13" s="20" t="s">
        <v>33</v>
      </c>
      <c r="F13" s="17">
        <v>152.54</v>
      </c>
      <c r="G13" s="46"/>
      <c r="H13" s="25"/>
      <c r="I13" s="26">
        <f t="shared" ref="I13" si="3">ROUND(F13*H13,2)</f>
        <v>0</v>
      </c>
      <c r="K13" s="38"/>
      <c r="M13" s="8"/>
    </row>
    <row r="14" spans="1:13" s="2" customFormat="1">
      <c r="A14" s="34" t="s">
        <v>145</v>
      </c>
      <c r="B14" s="62" t="s">
        <v>50</v>
      </c>
      <c r="C14" s="50" t="s">
        <v>20</v>
      </c>
      <c r="D14" s="67" t="s">
        <v>21</v>
      </c>
      <c r="E14" s="20" t="s">
        <v>36</v>
      </c>
      <c r="F14" s="17">
        <v>44.18</v>
      </c>
      <c r="G14" s="46"/>
      <c r="H14" s="25"/>
      <c r="I14" s="26">
        <f t="shared" ref="I14" si="4">ROUND(F14*H14,2)</f>
        <v>0</v>
      </c>
      <c r="K14" s="38"/>
      <c r="M14" s="8"/>
    </row>
    <row r="15" spans="1:13" s="2" customFormat="1" ht="15.75" customHeight="1" thickBot="1">
      <c r="A15" s="71"/>
      <c r="B15" s="72"/>
      <c r="C15" s="72"/>
      <c r="D15" s="72"/>
      <c r="E15" s="72"/>
      <c r="F15" s="74"/>
      <c r="G15" s="73"/>
      <c r="H15" s="72"/>
      <c r="I15" s="83"/>
      <c r="K15" s="38"/>
      <c r="M15" s="8"/>
    </row>
    <row r="16" spans="1:13" s="2" customFormat="1" ht="15.75" customHeight="1" thickBot="1">
      <c r="A16" s="249" t="s">
        <v>116</v>
      </c>
      <c r="B16" s="250"/>
      <c r="C16" s="250"/>
      <c r="D16" s="250"/>
      <c r="E16" s="250"/>
      <c r="F16" s="250"/>
      <c r="G16" s="250"/>
      <c r="H16" s="260"/>
      <c r="I16" s="84">
        <f>SUM(I5:I14)</f>
        <v>0</v>
      </c>
      <c r="K16" s="38"/>
      <c r="M16" s="8"/>
    </row>
    <row r="17" spans="1:23" ht="27.75" customHeight="1">
      <c r="A17" s="111"/>
      <c r="B17" s="112"/>
      <c r="C17" s="112"/>
      <c r="D17" s="112"/>
      <c r="E17" s="112"/>
      <c r="F17" s="112"/>
      <c r="G17" s="112"/>
      <c r="H17" s="112"/>
      <c r="I17" s="117"/>
      <c r="J17" s="65"/>
      <c r="K17" s="13"/>
    </row>
    <row r="18" spans="1:23" s="7" customFormat="1">
      <c r="A18" s="54" t="s">
        <v>149</v>
      </c>
      <c r="B18" s="18"/>
      <c r="C18" s="23"/>
      <c r="D18" s="19" t="s">
        <v>58</v>
      </c>
      <c r="E18" s="23"/>
      <c r="F18" s="55"/>
      <c r="G18" s="21"/>
      <c r="H18" s="56"/>
      <c r="I18" s="36"/>
      <c r="J18" s="27"/>
      <c r="K18" s="38"/>
      <c r="L18"/>
      <c r="N18"/>
      <c r="O18"/>
      <c r="P18"/>
      <c r="Q18"/>
      <c r="R18"/>
      <c r="S18"/>
      <c r="T18"/>
      <c r="U18"/>
      <c r="V18"/>
      <c r="W18"/>
    </row>
    <row r="19" spans="1:23" s="7" customFormat="1" ht="30.65" hidden="1" customHeight="1">
      <c r="A19" s="236" t="s">
        <v>124</v>
      </c>
      <c r="B19" s="237"/>
      <c r="C19" s="237"/>
      <c r="D19" s="237"/>
      <c r="E19" s="237"/>
      <c r="F19" s="108">
        <v>80.099999999999994</v>
      </c>
      <c r="G19" s="106"/>
      <c r="H19" s="94">
        <v>0</v>
      </c>
      <c r="I19" s="107"/>
      <c r="J19" s="27"/>
      <c r="K19" s="38"/>
      <c r="L19"/>
      <c r="N19"/>
      <c r="O19"/>
      <c r="P19"/>
      <c r="Q19"/>
      <c r="R19"/>
      <c r="S19"/>
      <c r="T19"/>
      <c r="U19"/>
      <c r="V19"/>
      <c r="W19"/>
    </row>
    <row r="20" spans="1:23" ht="28" customHeight="1">
      <c r="A20" s="99" t="s">
        <v>150</v>
      </c>
      <c r="B20" s="88" t="s">
        <v>50</v>
      </c>
      <c r="C20" s="89" t="s">
        <v>42</v>
      </c>
      <c r="D20" s="90" t="s">
        <v>17</v>
      </c>
      <c r="E20" s="91" t="s">
        <v>34</v>
      </c>
      <c r="F20" s="92">
        <v>1</v>
      </c>
      <c r="G20" s="93"/>
      <c r="H20" s="94"/>
      <c r="I20" s="82">
        <f>ROUND(F20*H20,2)</f>
        <v>0</v>
      </c>
      <c r="J20" s="75"/>
      <c r="K20" s="76"/>
    </row>
    <row r="21" spans="1:23" s="7" customFormat="1" ht="34" hidden="1" customHeight="1">
      <c r="A21" s="236" t="s">
        <v>123</v>
      </c>
      <c r="B21" s="237"/>
      <c r="C21" s="237"/>
      <c r="D21" s="237"/>
      <c r="E21" s="237"/>
      <c r="F21" s="108">
        <v>0.5</v>
      </c>
      <c r="G21" s="106"/>
      <c r="H21" s="94"/>
      <c r="I21" s="107"/>
      <c r="J21" s="27"/>
      <c r="K21" s="38"/>
      <c r="L21"/>
      <c r="N21"/>
      <c r="O21"/>
      <c r="P21"/>
      <c r="Q21"/>
      <c r="R21"/>
      <c r="S21"/>
      <c r="T21"/>
      <c r="U21"/>
      <c r="V21"/>
      <c r="W21"/>
    </row>
    <row r="22" spans="1:23" ht="25" customHeight="1">
      <c r="A22" s="99" t="s">
        <v>151</v>
      </c>
      <c r="B22" s="88" t="s">
        <v>50</v>
      </c>
      <c r="C22" s="58" t="s">
        <v>47</v>
      </c>
      <c r="D22" s="90" t="s">
        <v>52</v>
      </c>
      <c r="E22" s="91" t="s">
        <v>35</v>
      </c>
      <c r="F22" s="92">
        <v>2</v>
      </c>
      <c r="G22" s="93"/>
      <c r="H22" s="94"/>
      <c r="I22" s="82">
        <f>ROUND(F22*H22,2)</f>
        <v>0</v>
      </c>
      <c r="J22" s="75"/>
      <c r="K22" s="76"/>
    </row>
    <row r="23" spans="1:23" s="7" customFormat="1" ht="30" hidden="1" customHeight="1">
      <c r="A23" s="236" t="s">
        <v>125</v>
      </c>
      <c r="B23" s="237"/>
      <c r="C23" s="237"/>
      <c r="D23" s="237"/>
      <c r="E23" s="237"/>
      <c r="F23" s="108">
        <v>1</v>
      </c>
      <c r="G23" s="106"/>
      <c r="H23" s="94"/>
      <c r="I23" s="107"/>
      <c r="J23" s="27"/>
      <c r="K23" s="38"/>
      <c r="L23"/>
      <c r="N23"/>
      <c r="O23"/>
      <c r="P23"/>
      <c r="Q23"/>
      <c r="R23"/>
      <c r="S23"/>
      <c r="T23"/>
      <c r="U23"/>
      <c r="V23"/>
      <c r="W23"/>
    </row>
    <row r="24" spans="1:23" ht="36" customHeight="1">
      <c r="A24" s="197" t="s">
        <v>152</v>
      </c>
      <c r="B24" s="62" t="s">
        <v>50</v>
      </c>
      <c r="C24" s="20" t="s">
        <v>45</v>
      </c>
      <c r="D24" s="24" t="s">
        <v>46</v>
      </c>
      <c r="E24" s="85" t="s">
        <v>33</v>
      </c>
      <c r="F24" s="86">
        <v>0.45</v>
      </c>
      <c r="G24" s="87"/>
      <c r="H24" s="25"/>
      <c r="I24" s="35">
        <f>ROUND(F24*H24,2)</f>
        <v>0</v>
      </c>
      <c r="J24" s="75"/>
      <c r="K24" s="76"/>
    </row>
    <row r="25" spans="1:23" s="7" customFormat="1" ht="24" hidden="1" customHeight="1">
      <c r="A25" s="236" t="s">
        <v>126</v>
      </c>
      <c r="B25" s="237"/>
      <c r="C25" s="237"/>
      <c r="D25" s="237"/>
      <c r="E25" s="237"/>
      <c r="F25" s="108">
        <v>0.18</v>
      </c>
      <c r="G25" s="106"/>
      <c r="H25" s="106"/>
      <c r="I25" s="107"/>
      <c r="J25" s="27"/>
      <c r="K25" s="38"/>
      <c r="L25"/>
      <c r="N25"/>
      <c r="O25"/>
      <c r="P25"/>
      <c r="Q25"/>
      <c r="R25"/>
      <c r="S25"/>
      <c r="T25"/>
      <c r="U25"/>
      <c r="V25"/>
      <c r="W25"/>
    </row>
    <row r="26" spans="1:23" ht="15" thickBot="1">
      <c r="A26" s="100"/>
      <c r="B26" s="101"/>
      <c r="C26" s="51"/>
      <c r="D26" s="102"/>
      <c r="E26" s="103"/>
      <c r="F26" s="104"/>
      <c r="G26" s="105"/>
      <c r="H26" s="41"/>
      <c r="I26" s="52"/>
      <c r="J26" s="27"/>
      <c r="K26" s="38"/>
    </row>
    <row r="27" spans="1:23" s="2" customFormat="1" ht="15.75" customHeight="1" thickBot="1">
      <c r="A27" s="249" t="s">
        <v>91</v>
      </c>
      <c r="B27" s="250"/>
      <c r="C27" s="250"/>
      <c r="D27" s="250"/>
      <c r="E27" s="250"/>
      <c r="F27" s="250"/>
      <c r="G27" s="250"/>
      <c r="H27" s="260"/>
      <c r="I27" s="95">
        <f>SUM(I19:I24)</f>
        <v>0</v>
      </c>
      <c r="K27" s="38"/>
      <c r="M27" s="8"/>
    </row>
    <row r="28" spans="1:23" s="2" customFormat="1" ht="15.75" customHeight="1" thickBot="1">
      <c r="A28" s="114"/>
      <c r="B28" s="115"/>
      <c r="C28" s="115"/>
      <c r="D28" s="115"/>
      <c r="E28" s="115"/>
      <c r="F28" s="115"/>
      <c r="G28" s="115"/>
      <c r="H28" s="115"/>
      <c r="I28" s="196"/>
      <c r="K28" s="38"/>
      <c r="M28" s="8"/>
    </row>
    <row r="29" spans="1:23" ht="16" thickBot="1">
      <c r="A29" s="258" t="s">
        <v>51</v>
      </c>
      <c r="B29" s="259"/>
      <c r="C29" s="259"/>
      <c r="D29" s="259"/>
      <c r="E29" s="259"/>
      <c r="F29" s="259"/>
      <c r="G29" s="259"/>
      <c r="H29" s="259"/>
      <c r="I29" s="199">
        <f>ROUND(I16+I27,2)</f>
        <v>0</v>
      </c>
    </row>
    <row r="30" spans="1:23">
      <c r="B30" s="228"/>
      <c r="C30" s="228"/>
      <c r="D30" s="228"/>
      <c r="H30" s="15"/>
    </row>
  </sheetData>
  <mergeCells count="22">
    <mergeCell ref="A6:E6"/>
    <mergeCell ref="A1:A2"/>
    <mergeCell ref="B1:B2"/>
    <mergeCell ref="C1:C2"/>
    <mergeCell ref="D1:D2"/>
    <mergeCell ref="E1:E2"/>
    <mergeCell ref="G1:G2"/>
    <mergeCell ref="I1:I2"/>
    <mergeCell ref="J1:J2"/>
    <mergeCell ref="K1:K2"/>
    <mergeCell ref="A3:I3"/>
    <mergeCell ref="F1:F2"/>
    <mergeCell ref="A29:H29"/>
    <mergeCell ref="B30:D30"/>
    <mergeCell ref="A8:E8"/>
    <mergeCell ref="A10:E10"/>
    <mergeCell ref="A16:H16"/>
    <mergeCell ref="A19:E19"/>
    <mergeCell ref="A21:E21"/>
    <mergeCell ref="A23:E23"/>
    <mergeCell ref="A25:E25"/>
    <mergeCell ref="A27:H27"/>
  </mergeCells>
  <conditionalFormatting sqref="C22">
    <cfRule type="expression" dxfId="1" priority="1" stopIfTrue="1">
      <formula>I22&lt;6</formula>
    </cfRule>
  </conditionalFormatting>
  <printOptions horizontalCentered="1"/>
  <pageMargins left="0.31496062992125984" right="0.35433070866141736" top="1.2204724409448819" bottom="1.0236220472440944" header="3.937007874015748E-2" footer="3.937007874015748E-2"/>
  <pageSetup paperSize="9" scale="73" fitToHeight="0" orientation="portrait" r:id="rId1"/>
  <headerFooter>
    <oddHeader>&amp;L&amp;G&amp;C&amp;"-,Negrito"&amp;16PREFEITURA MUNICIPAL DE POTIM&amp;"-,Regular"&amp;11
&amp;12“TERRA DO ARTESANATO”</oddHeader>
    <oddFooter xml:space="preserve">&amp;CPraça Miguel Corrêa dos Ouros, 101   -   Centro   -   Potim   -   SP   -   CEP  12525-000
Telefax: (12) 3112.9200   -   E-mail: secretaria@potim.sp.gov.br
CNPJ:65.042.855/0001-20     -     I.E.:  Isento
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554FD-34D2-4418-9E92-9FA8483E2A4D}">
  <sheetPr>
    <pageSetUpPr fitToPage="1"/>
  </sheetPr>
  <dimension ref="A1:M15"/>
  <sheetViews>
    <sheetView view="pageBreakPreview" zoomScale="80" zoomScaleNormal="84" zoomScaleSheetLayoutView="80" workbookViewId="0">
      <selection activeCell="G7" sqref="G5:H9"/>
    </sheetView>
  </sheetViews>
  <sheetFormatPr defaultRowHeight="14.5"/>
  <cols>
    <col min="1" max="1" width="6.81640625" style="5" customWidth="1"/>
    <col min="2" max="2" width="11.81640625" customWidth="1"/>
    <col min="3" max="3" width="9.81640625" style="5" customWidth="1"/>
    <col min="4" max="4" width="42.54296875" style="1" customWidth="1"/>
    <col min="5" max="5" width="7.54296875" style="5" customWidth="1"/>
    <col min="6" max="6" width="11" style="5" bestFit="1" customWidth="1"/>
    <col min="7" max="7" width="13" style="48" bestFit="1" customWidth="1"/>
    <col min="8" max="8" width="13.453125" style="14" bestFit="1" customWidth="1"/>
    <col min="9" max="9" width="15.1796875" style="206" bestFit="1" customWidth="1"/>
    <col min="10" max="10" width="13.81640625" style="6" bestFit="1" customWidth="1"/>
    <col min="11" max="11" width="11.81640625" style="4" bestFit="1" customWidth="1"/>
    <col min="12" max="12" width="12.81640625" bestFit="1" customWidth="1"/>
    <col min="13" max="13" width="8.81640625" style="7"/>
  </cols>
  <sheetData>
    <row r="1" spans="1:13" ht="26.5">
      <c r="A1" s="218" t="s">
        <v>3</v>
      </c>
      <c r="B1" s="220" t="s">
        <v>4</v>
      </c>
      <c r="C1" s="220" t="s">
        <v>0</v>
      </c>
      <c r="D1" s="222" t="s">
        <v>6</v>
      </c>
      <c r="E1" s="224" t="s">
        <v>5</v>
      </c>
      <c r="F1" s="251" t="s">
        <v>37</v>
      </c>
      <c r="G1" s="230" t="s">
        <v>8</v>
      </c>
      <c r="H1" s="69" t="s">
        <v>9</v>
      </c>
      <c r="I1" s="256" t="s">
        <v>38</v>
      </c>
      <c r="J1" s="227"/>
      <c r="K1" s="229"/>
    </row>
    <row r="2" spans="1:13">
      <c r="A2" s="219"/>
      <c r="B2" s="221"/>
      <c r="C2" s="221"/>
      <c r="D2" s="223"/>
      <c r="E2" s="225"/>
      <c r="F2" s="252"/>
      <c r="G2" s="231"/>
      <c r="H2" s="70">
        <v>0.23380000000000001</v>
      </c>
      <c r="I2" s="257"/>
      <c r="J2" s="227"/>
      <c r="K2" s="229"/>
      <c r="L2">
        <v>1.2338</v>
      </c>
      <c r="M2" s="42">
        <v>1.2338</v>
      </c>
    </row>
    <row r="3" spans="1:13" s="2" customFormat="1" ht="15.75" customHeight="1">
      <c r="A3" s="238" t="s">
        <v>131</v>
      </c>
      <c r="B3" s="239"/>
      <c r="C3" s="239"/>
      <c r="D3" s="239"/>
      <c r="E3" s="239"/>
      <c r="F3" s="239"/>
      <c r="G3" s="239"/>
      <c r="H3" s="239"/>
      <c r="I3" s="240"/>
      <c r="K3" s="38" t="s">
        <v>39</v>
      </c>
      <c r="L3" s="2" t="s">
        <v>40</v>
      </c>
      <c r="M3" s="8"/>
    </row>
    <row r="4" spans="1:13" s="2" customFormat="1" ht="37.5" customHeight="1">
      <c r="A4" s="63" t="s">
        <v>57</v>
      </c>
      <c r="B4" s="64"/>
      <c r="C4" s="29"/>
      <c r="D4" s="30" t="s">
        <v>59</v>
      </c>
      <c r="E4" s="31"/>
      <c r="F4" s="68"/>
      <c r="G4" s="45"/>
      <c r="H4" s="32"/>
      <c r="I4" s="200"/>
      <c r="K4" s="38"/>
      <c r="M4" s="8"/>
    </row>
    <row r="5" spans="1:13" s="2" customFormat="1" ht="39.5">
      <c r="A5" s="34" t="s">
        <v>75</v>
      </c>
      <c r="B5" s="62" t="s">
        <v>50</v>
      </c>
      <c r="C5" s="20" t="s">
        <v>15</v>
      </c>
      <c r="D5" s="67" t="s">
        <v>16</v>
      </c>
      <c r="E5" s="20" t="s">
        <v>33</v>
      </c>
      <c r="F5" s="53">
        <v>176.42</v>
      </c>
      <c r="G5" s="46"/>
      <c r="H5" s="25"/>
      <c r="I5" s="35">
        <f>ROUND(F5*H5,2)</f>
        <v>0</v>
      </c>
      <c r="K5" s="38"/>
      <c r="M5" s="8"/>
    </row>
    <row r="6" spans="1:13" ht="30" hidden="1" customHeight="1">
      <c r="A6" s="236" t="s">
        <v>94</v>
      </c>
      <c r="B6" s="237"/>
      <c r="C6" s="237"/>
      <c r="D6" s="237"/>
      <c r="E6" s="237"/>
      <c r="F6" s="108">
        <v>176.42</v>
      </c>
      <c r="G6" s="106"/>
      <c r="H6" s="106"/>
      <c r="I6" s="107"/>
      <c r="J6" s="75"/>
      <c r="K6" s="76"/>
    </row>
    <row r="7" spans="1:13" s="2" customFormat="1" ht="26" customHeight="1">
      <c r="A7" s="34" t="s">
        <v>76</v>
      </c>
      <c r="B7" s="62" t="s">
        <v>50</v>
      </c>
      <c r="C7" s="50" t="s">
        <v>22</v>
      </c>
      <c r="D7" s="67" t="s">
        <v>23</v>
      </c>
      <c r="E7" s="20" t="s">
        <v>36</v>
      </c>
      <c r="F7" s="17">
        <v>7.06</v>
      </c>
      <c r="G7" s="46"/>
      <c r="H7" s="25"/>
      <c r="I7" s="26">
        <f t="shared" ref="I7:I9" si="0">ROUND(F7*H7,2)</f>
        <v>0</v>
      </c>
      <c r="K7" s="38"/>
      <c r="M7" s="8"/>
    </row>
    <row r="8" spans="1:13" ht="34.5" hidden="1" customHeight="1">
      <c r="A8" s="236" t="s">
        <v>128</v>
      </c>
      <c r="B8" s="237"/>
      <c r="C8" s="237"/>
      <c r="D8" s="237"/>
      <c r="E8" s="237"/>
      <c r="F8" s="108">
        <v>8.82</v>
      </c>
      <c r="G8" s="106"/>
      <c r="H8" s="106"/>
      <c r="I8" s="107"/>
      <c r="J8" s="75"/>
      <c r="K8" s="76"/>
    </row>
    <row r="9" spans="1:13" s="2" customFormat="1">
      <c r="A9" s="34" t="s">
        <v>77</v>
      </c>
      <c r="B9" s="62" t="s">
        <v>50</v>
      </c>
      <c r="C9" s="50" t="s">
        <v>24</v>
      </c>
      <c r="D9" s="67" t="s">
        <v>25</v>
      </c>
      <c r="E9" s="20" t="s">
        <v>33</v>
      </c>
      <c r="F9" s="17">
        <v>176.42</v>
      </c>
      <c r="G9" s="46"/>
      <c r="H9" s="25"/>
      <c r="I9" s="26">
        <f t="shared" si="0"/>
        <v>0</v>
      </c>
      <c r="K9" s="38"/>
      <c r="M9" s="8"/>
    </row>
    <row r="10" spans="1:13" ht="39" hidden="1" customHeight="1">
      <c r="A10" s="236" t="s">
        <v>129</v>
      </c>
      <c r="B10" s="237"/>
      <c r="C10" s="237"/>
      <c r="D10" s="237"/>
      <c r="E10" s="237"/>
      <c r="F10" s="108">
        <v>176.42</v>
      </c>
      <c r="G10" s="106"/>
      <c r="H10" s="106"/>
      <c r="I10" s="107"/>
      <c r="J10" s="75"/>
      <c r="K10" s="76"/>
    </row>
    <row r="11" spans="1:13" s="2" customFormat="1" ht="15.75" customHeight="1" thickBot="1">
      <c r="A11" s="71"/>
      <c r="B11" s="72"/>
      <c r="C11" s="72"/>
      <c r="D11" s="72"/>
      <c r="E11" s="72"/>
      <c r="F11" s="74"/>
      <c r="G11" s="73"/>
      <c r="H11" s="72"/>
      <c r="I11" s="201"/>
      <c r="K11" s="38"/>
      <c r="M11" s="8"/>
    </row>
    <row r="12" spans="1:13" s="2" customFormat="1" ht="15.75" customHeight="1" thickBot="1">
      <c r="A12" s="249" t="s">
        <v>98</v>
      </c>
      <c r="B12" s="250"/>
      <c r="C12" s="250"/>
      <c r="D12" s="250"/>
      <c r="E12" s="250"/>
      <c r="F12" s="250"/>
      <c r="G12" s="250"/>
      <c r="H12" s="260"/>
      <c r="I12" s="198">
        <f>SUM(I5:I10)</f>
        <v>0</v>
      </c>
      <c r="K12" s="38"/>
      <c r="M12" s="8"/>
    </row>
    <row r="13" spans="1:13" s="2" customFormat="1" ht="15.75" customHeight="1">
      <c r="A13" s="111"/>
      <c r="B13" s="112"/>
      <c r="C13" s="112"/>
      <c r="D13" s="112"/>
      <c r="E13" s="112"/>
      <c r="F13" s="112"/>
      <c r="G13" s="112"/>
      <c r="H13" s="112"/>
      <c r="I13" s="202"/>
      <c r="K13" s="38"/>
      <c r="M13" s="8"/>
    </row>
    <row r="14" spans="1:13" ht="27.75" customHeight="1" thickBot="1">
      <c r="A14" s="258" t="s">
        <v>51</v>
      </c>
      <c r="B14" s="259"/>
      <c r="C14" s="259"/>
      <c r="D14" s="259"/>
      <c r="E14" s="259"/>
      <c r="F14" s="259"/>
      <c r="G14" s="259"/>
      <c r="H14" s="259"/>
      <c r="I14" s="199">
        <f>ROUND(I12,2)</f>
        <v>0</v>
      </c>
      <c r="J14" s="65"/>
      <c r="K14" s="13"/>
    </row>
    <row r="15" spans="1:13">
      <c r="B15" s="228"/>
      <c r="C15" s="228"/>
      <c r="D15" s="228"/>
      <c r="H15" s="15"/>
    </row>
  </sheetData>
  <mergeCells count="17">
    <mergeCell ref="A6:E6"/>
    <mergeCell ref="A1:A2"/>
    <mergeCell ref="B1:B2"/>
    <mergeCell ref="C1:C2"/>
    <mergeCell ref="D1:D2"/>
    <mergeCell ref="E1:E2"/>
    <mergeCell ref="G1:G2"/>
    <mergeCell ref="I1:I2"/>
    <mergeCell ref="J1:J2"/>
    <mergeCell ref="K1:K2"/>
    <mergeCell ref="A3:I3"/>
    <mergeCell ref="F1:F2"/>
    <mergeCell ref="A8:E8"/>
    <mergeCell ref="A10:E10"/>
    <mergeCell ref="A12:H12"/>
    <mergeCell ref="A14:H14"/>
    <mergeCell ref="B15:D15"/>
  </mergeCells>
  <printOptions horizontalCentered="1"/>
  <pageMargins left="0.31496062992125984" right="0.35433070866141736" top="1.2204724409448819" bottom="1.0236220472440944" header="3.937007874015748E-2" footer="3.937007874015748E-2"/>
  <pageSetup paperSize="9" scale="73" fitToHeight="0" orientation="portrait" r:id="rId1"/>
  <headerFooter>
    <oddHeader>&amp;L&amp;G&amp;C&amp;"-,Negrito"&amp;16PREFEITURA MUNICIPAL DE POTIM&amp;"-,Regular"&amp;11
&amp;12“TERRA DO ARTESANATO”</oddHeader>
    <oddFooter xml:space="preserve">&amp;CPraça Miguel Corrêa dos Ouros, 101   -   Centro   -   Potim   -   SP   -   CEP  12525-000
Telefax: (12) 3112.9200   -   E-mail: secretaria@potim.sp.gov.br
CNPJ:65.042.855/0001-20     -     I.E.:  Isento
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C61F2-A35D-4A9A-8B43-AC2A2E919E35}">
  <sheetPr>
    <pageSetUpPr fitToPage="1"/>
  </sheetPr>
  <dimension ref="A1:W33"/>
  <sheetViews>
    <sheetView view="pageBreakPreview" zoomScale="80" zoomScaleNormal="84" zoomScaleSheetLayoutView="80" workbookViewId="0">
      <selection activeCell="H48" sqref="H48"/>
    </sheetView>
  </sheetViews>
  <sheetFormatPr defaultRowHeight="14.5"/>
  <cols>
    <col min="1" max="1" width="6.81640625" style="5" customWidth="1"/>
    <col min="2" max="2" width="11.81640625" customWidth="1"/>
    <col min="3" max="3" width="9.81640625" style="5" customWidth="1"/>
    <col min="4" max="4" width="42.54296875" style="1" customWidth="1"/>
    <col min="5" max="5" width="7.54296875" style="5" customWidth="1"/>
    <col min="6" max="6" width="11" style="5" bestFit="1" customWidth="1"/>
    <col min="7" max="7" width="13" style="48" bestFit="1" customWidth="1"/>
    <col min="8" max="8" width="13.453125" style="14" bestFit="1" customWidth="1"/>
    <col min="9" max="9" width="15.1796875" style="206" bestFit="1" customWidth="1"/>
    <col min="10" max="10" width="13.81640625" style="6" bestFit="1" customWidth="1"/>
    <col min="11" max="11" width="11.81640625" style="4" bestFit="1" customWidth="1"/>
    <col min="12" max="12" width="12.81640625" bestFit="1" customWidth="1"/>
    <col min="13" max="13" width="8.81640625" style="7"/>
  </cols>
  <sheetData>
    <row r="1" spans="1:23" ht="26.5">
      <c r="A1" s="218" t="s">
        <v>3</v>
      </c>
      <c r="B1" s="220" t="s">
        <v>4</v>
      </c>
      <c r="C1" s="220" t="s">
        <v>0</v>
      </c>
      <c r="D1" s="222" t="s">
        <v>6</v>
      </c>
      <c r="E1" s="224" t="s">
        <v>5</v>
      </c>
      <c r="F1" s="251" t="s">
        <v>37</v>
      </c>
      <c r="G1" s="230" t="s">
        <v>8</v>
      </c>
      <c r="H1" s="69" t="s">
        <v>9</v>
      </c>
      <c r="I1" s="256" t="s">
        <v>38</v>
      </c>
      <c r="J1" s="227"/>
      <c r="K1" s="229"/>
    </row>
    <row r="2" spans="1:23">
      <c r="A2" s="219"/>
      <c r="B2" s="221"/>
      <c r="C2" s="221"/>
      <c r="D2" s="223"/>
      <c r="E2" s="225"/>
      <c r="F2" s="252"/>
      <c r="G2" s="231"/>
      <c r="H2" s="70">
        <v>0.23380000000000001</v>
      </c>
      <c r="I2" s="257"/>
      <c r="J2" s="227"/>
      <c r="K2" s="229"/>
      <c r="L2">
        <v>1.2338</v>
      </c>
      <c r="M2" s="42">
        <v>1.2338</v>
      </c>
    </row>
    <row r="3" spans="1:23" s="2" customFormat="1" ht="15.75" customHeight="1">
      <c r="A3" s="238" t="s">
        <v>93</v>
      </c>
      <c r="B3" s="239"/>
      <c r="C3" s="239"/>
      <c r="D3" s="239"/>
      <c r="E3" s="239"/>
      <c r="F3" s="239"/>
      <c r="G3" s="239"/>
      <c r="H3" s="239"/>
      <c r="I3" s="240"/>
      <c r="K3" s="38" t="s">
        <v>39</v>
      </c>
      <c r="L3" s="2" t="s">
        <v>40</v>
      </c>
      <c r="M3" s="8"/>
    </row>
    <row r="4" spans="1:23" s="2" customFormat="1" ht="37.5" customHeight="1">
      <c r="A4" s="63" t="s">
        <v>60</v>
      </c>
      <c r="B4" s="64"/>
      <c r="C4" s="29"/>
      <c r="D4" s="30" t="s">
        <v>59</v>
      </c>
      <c r="E4" s="31"/>
      <c r="F4" s="68"/>
      <c r="G4" s="45"/>
      <c r="H4" s="32"/>
      <c r="I4" s="200"/>
      <c r="K4" s="38"/>
      <c r="M4" s="8"/>
    </row>
    <row r="5" spans="1:23" s="2" customFormat="1" ht="37.5" customHeight="1">
      <c r="A5" s="34" t="s">
        <v>78</v>
      </c>
      <c r="B5" s="62" t="s">
        <v>50</v>
      </c>
      <c r="C5" s="20" t="s">
        <v>15</v>
      </c>
      <c r="D5" s="67" t="s">
        <v>16</v>
      </c>
      <c r="E5" s="20" t="s">
        <v>33</v>
      </c>
      <c r="F5" s="53">
        <v>2015.15</v>
      </c>
      <c r="G5" s="46"/>
      <c r="H5" s="25"/>
      <c r="I5" s="35">
        <f>ROUND(F5*H5,2)</f>
        <v>0</v>
      </c>
      <c r="K5" s="38"/>
      <c r="M5" s="8"/>
    </row>
    <row r="6" spans="1:23" ht="30" hidden="1" customHeight="1">
      <c r="A6" s="236" t="s">
        <v>94</v>
      </c>
      <c r="B6" s="237"/>
      <c r="C6" s="237"/>
      <c r="D6" s="237"/>
      <c r="E6" s="237"/>
      <c r="F6" s="108">
        <v>2024.63</v>
      </c>
      <c r="G6" s="106"/>
      <c r="H6" s="106"/>
      <c r="I6" s="107"/>
      <c r="J6" s="75"/>
      <c r="K6" s="76"/>
    </row>
    <row r="7" spans="1:23" s="2" customFormat="1" ht="26" customHeight="1">
      <c r="A7" s="34" t="s">
        <v>79</v>
      </c>
      <c r="B7" s="62" t="s">
        <v>50</v>
      </c>
      <c r="C7" s="50" t="s">
        <v>22</v>
      </c>
      <c r="D7" s="67" t="s">
        <v>23</v>
      </c>
      <c r="E7" s="20" t="s">
        <v>36</v>
      </c>
      <c r="F7" s="17">
        <v>100.76</v>
      </c>
      <c r="G7" s="46"/>
      <c r="H7" s="25"/>
      <c r="I7" s="26">
        <f t="shared" ref="I7:I9" si="0">ROUND(F7*H7,2)</f>
        <v>0</v>
      </c>
      <c r="K7" s="38"/>
      <c r="M7" s="8"/>
    </row>
    <row r="8" spans="1:23" ht="34.5" hidden="1" customHeight="1">
      <c r="A8" s="236" t="s">
        <v>110</v>
      </c>
      <c r="B8" s="237"/>
      <c r="C8" s="237"/>
      <c r="D8" s="237"/>
      <c r="E8" s="237"/>
      <c r="F8" s="108">
        <v>101.23</v>
      </c>
      <c r="G8" s="106"/>
      <c r="H8" s="106"/>
      <c r="I8" s="107"/>
      <c r="J8" s="75"/>
      <c r="K8" s="76"/>
    </row>
    <row r="9" spans="1:23" s="2" customFormat="1">
      <c r="A9" s="34" t="s">
        <v>80</v>
      </c>
      <c r="B9" s="62" t="s">
        <v>50</v>
      </c>
      <c r="C9" s="50" t="s">
        <v>24</v>
      </c>
      <c r="D9" s="67" t="s">
        <v>25</v>
      </c>
      <c r="E9" s="20" t="s">
        <v>33</v>
      </c>
      <c r="F9" s="17">
        <v>2015.15</v>
      </c>
      <c r="G9" s="46"/>
      <c r="H9" s="25"/>
      <c r="I9" s="26">
        <f t="shared" si="0"/>
        <v>0</v>
      </c>
      <c r="K9" s="38"/>
      <c r="M9" s="8"/>
    </row>
    <row r="10" spans="1:23" ht="39" hidden="1" customHeight="1">
      <c r="A10" s="236" t="s">
        <v>99</v>
      </c>
      <c r="B10" s="237"/>
      <c r="C10" s="237"/>
      <c r="D10" s="237"/>
      <c r="E10" s="237"/>
      <c r="F10" s="108">
        <v>2024.63</v>
      </c>
      <c r="G10" s="106"/>
      <c r="H10" s="106"/>
      <c r="I10" s="107"/>
      <c r="J10" s="75"/>
      <c r="K10" s="76"/>
    </row>
    <row r="11" spans="1:23" s="2" customFormat="1" ht="24.5" customHeight="1">
      <c r="A11" s="34" t="s">
        <v>156</v>
      </c>
      <c r="B11" s="62" t="s">
        <v>50</v>
      </c>
      <c r="C11" s="50" t="s">
        <v>30</v>
      </c>
      <c r="D11" s="67" t="s">
        <v>31</v>
      </c>
      <c r="E11" s="20" t="s">
        <v>36</v>
      </c>
      <c r="F11" s="17">
        <v>1.1599999999999999</v>
      </c>
      <c r="G11" s="46"/>
      <c r="H11" s="25"/>
      <c r="I11" s="26">
        <f t="shared" ref="I11" si="1">ROUND(F11*H11,2)</f>
        <v>0</v>
      </c>
      <c r="K11" s="38"/>
      <c r="M11" s="8"/>
    </row>
    <row r="12" spans="1:23" s="2" customFormat="1" ht="24.5" customHeight="1">
      <c r="A12" s="34" t="s">
        <v>157</v>
      </c>
      <c r="B12" s="62" t="s">
        <v>50</v>
      </c>
      <c r="C12" s="50" t="s">
        <v>28</v>
      </c>
      <c r="D12" s="67" t="s">
        <v>29</v>
      </c>
      <c r="E12" s="20" t="s">
        <v>34</v>
      </c>
      <c r="F12" s="17">
        <v>37.770000000000003</v>
      </c>
      <c r="G12" s="46"/>
      <c r="H12" s="25"/>
      <c r="I12" s="26">
        <f t="shared" ref="I12" si="2">ROUND(F12*H12,2)</f>
        <v>0</v>
      </c>
      <c r="K12" s="38"/>
      <c r="M12" s="8"/>
    </row>
    <row r="13" spans="1:23" s="2" customFormat="1" ht="15.75" customHeight="1" thickBot="1">
      <c r="A13" s="71"/>
      <c r="B13" s="72"/>
      <c r="C13" s="72"/>
      <c r="D13" s="72"/>
      <c r="E13" s="72"/>
      <c r="F13" s="74"/>
      <c r="G13" s="73"/>
      <c r="H13" s="72"/>
      <c r="I13" s="201"/>
      <c r="K13" s="38"/>
      <c r="M13" s="8"/>
    </row>
    <row r="14" spans="1:23" s="2" customFormat="1" ht="15.75" customHeight="1" thickBot="1">
      <c r="A14" s="249" t="s">
        <v>85</v>
      </c>
      <c r="B14" s="250"/>
      <c r="C14" s="250"/>
      <c r="D14" s="250"/>
      <c r="E14" s="250"/>
      <c r="F14" s="250"/>
      <c r="G14" s="250"/>
      <c r="H14" s="260"/>
      <c r="I14" s="198">
        <f>SUM(I5:I12)</f>
        <v>0</v>
      </c>
      <c r="K14" s="38"/>
      <c r="M14" s="8"/>
    </row>
    <row r="15" spans="1:23" s="2" customFormat="1" ht="15.75" customHeight="1">
      <c r="A15" s="111"/>
      <c r="B15" s="112"/>
      <c r="C15" s="112"/>
      <c r="D15" s="112"/>
      <c r="E15" s="112"/>
      <c r="F15" s="112"/>
      <c r="G15" s="112"/>
      <c r="H15" s="112"/>
      <c r="I15" s="202"/>
      <c r="K15" s="38"/>
      <c r="M15" s="8"/>
    </row>
    <row r="16" spans="1:23" s="7" customFormat="1">
      <c r="A16" s="54" t="s">
        <v>61</v>
      </c>
      <c r="B16" s="18"/>
      <c r="C16" s="23"/>
      <c r="D16" s="19" t="s">
        <v>58</v>
      </c>
      <c r="E16" s="23"/>
      <c r="F16" s="55"/>
      <c r="G16" s="21"/>
      <c r="H16" s="56"/>
      <c r="I16" s="203"/>
      <c r="J16" s="27"/>
      <c r="K16" s="38"/>
      <c r="L16"/>
      <c r="N16"/>
      <c r="O16"/>
      <c r="P16"/>
      <c r="Q16"/>
      <c r="R16"/>
      <c r="S16"/>
      <c r="T16"/>
      <c r="U16"/>
      <c r="V16"/>
      <c r="W16"/>
    </row>
    <row r="17" spans="1:23" ht="39">
      <c r="A17" s="99" t="s">
        <v>81</v>
      </c>
      <c r="B17" s="88" t="s">
        <v>50</v>
      </c>
      <c r="C17" s="89" t="s">
        <v>43</v>
      </c>
      <c r="D17" s="90" t="s">
        <v>44</v>
      </c>
      <c r="E17" s="91" t="s">
        <v>33</v>
      </c>
      <c r="F17" s="92">
        <v>60.33</v>
      </c>
      <c r="G17" s="93"/>
      <c r="H17" s="94"/>
      <c r="I17" s="82">
        <f>ROUND(F17*H17,2)</f>
        <v>0</v>
      </c>
      <c r="J17" s="75"/>
      <c r="K17" s="76"/>
    </row>
    <row r="18" spans="1:23" s="7" customFormat="1" ht="32.5" hidden="1" customHeight="1">
      <c r="A18" s="236" t="s">
        <v>132</v>
      </c>
      <c r="B18" s="237"/>
      <c r="C18" s="237"/>
      <c r="D18" s="237"/>
      <c r="E18" s="237"/>
      <c r="F18" s="108">
        <v>17.55</v>
      </c>
      <c r="G18" s="106"/>
      <c r="H18" s="106"/>
      <c r="I18" s="107"/>
      <c r="J18" s="27"/>
      <c r="K18" s="38"/>
      <c r="L18"/>
      <c r="N18"/>
      <c r="O18"/>
      <c r="P18"/>
      <c r="Q18"/>
      <c r="R18"/>
      <c r="S18"/>
      <c r="T18"/>
      <c r="U18"/>
      <c r="V18"/>
      <c r="W18"/>
    </row>
    <row r="19" spans="1:23" ht="28" customHeight="1">
      <c r="A19" s="99" t="s">
        <v>96</v>
      </c>
      <c r="B19" s="88" t="s">
        <v>50</v>
      </c>
      <c r="C19" s="89" t="s">
        <v>42</v>
      </c>
      <c r="D19" s="90" t="s">
        <v>17</v>
      </c>
      <c r="E19" s="91" t="s">
        <v>34</v>
      </c>
      <c r="F19" s="92">
        <v>1</v>
      </c>
      <c r="G19" s="93"/>
      <c r="H19" s="94"/>
      <c r="I19" s="82">
        <f>ROUND(F19*H19,2)</f>
        <v>0</v>
      </c>
      <c r="J19" s="75"/>
      <c r="K19" s="76"/>
    </row>
    <row r="20" spans="1:23" s="7" customFormat="1" ht="17.5" hidden="1" customHeight="1">
      <c r="A20" s="236" t="s">
        <v>134</v>
      </c>
      <c r="B20" s="237"/>
      <c r="C20" s="237"/>
      <c r="D20" s="237"/>
      <c r="E20" s="237"/>
      <c r="F20" s="108">
        <v>1</v>
      </c>
      <c r="G20" s="106"/>
      <c r="H20" s="106"/>
      <c r="I20" s="107"/>
      <c r="J20" s="27"/>
      <c r="K20" s="38"/>
      <c r="L20"/>
      <c r="N20"/>
      <c r="O20"/>
      <c r="P20"/>
      <c r="Q20"/>
      <c r="R20"/>
      <c r="S20"/>
      <c r="T20"/>
      <c r="U20"/>
      <c r="V20"/>
      <c r="W20"/>
    </row>
    <row r="21" spans="1:23" ht="25" customHeight="1">
      <c r="A21" s="99" t="s">
        <v>82</v>
      </c>
      <c r="B21" s="88" t="s">
        <v>50</v>
      </c>
      <c r="C21" s="58" t="s">
        <v>47</v>
      </c>
      <c r="D21" s="90" t="s">
        <v>52</v>
      </c>
      <c r="E21" s="91" t="s">
        <v>35</v>
      </c>
      <c r="F21" s="92">
        <v>5</v>
      </c>
      <c r="G21" s="93"/>
      <c r="H21" s="94"/>
      <c r="I21" s="82">
        <f>ROUND(F21*H21,2)</f>
        <v>0</v>
      </c>
      <c r="J21" s="75"/>
      <c r="K21" s="76"/>
    </row>
    <row r="22" spans="1:23" s="7" customFormat="1" hidden="1">
      <c r="A22" s="236" t="s">
        <v>133</v>
      </c>
      <c r="B22" s="237"/>
      <c r="C22" s="237"/>
      <c r="D22" s="237"/>
      <c r="E22" s="237"/>
      <c r="F22" s="108">
        <v>2</v>
      </c>
      <c r="G22" s="106"/>
      <c r="H22" s="106"/>
      <c r="I22" s="107"/>
      <c r="J22" s="27"/>
      <c r="K22" s="38"/>
      <c r="L22"/>
      <c r="N22"/>
      <c r="O22"/>
      <c r="P22"/>
      <c r="Q22"/>
      <c r="R22"/>
      <c r="S22"/>
      <c r="T22"/>
      <c r="U22"/>
      <c r="V22"/>
      <c r="W22"/>
    </row>
    <row r="23" spans="1:23" ht="25" customHeight="1">
      <c r="A23" s="99" t="s">
        <v>83</v>
      </c>
      <c r="B23" s="62" t="s">
        <v>50</v>
      </c>
      <c r="C23" s="20" t="s">
        <v>45</v>
      </c>
      <c r="D23" s="24" t="s">
        <v>46</v>
      </c>
      <c r="E23" s="85" t="s">
        <v>33</v>
      </c>
      <c r="F23" s="86">
        <v>0.9</v>
      </c>
      <c r="G23" s="87"/>
      <c r="H23" s="25"/>
      <c r="I23" s="35">
        <f>ROUND(F23*H23,2)</f>
        <v>0</v>
      </c>
      <c r="J23" s="75"/>
      <c r="K23" s="76"/>
    </row>
    <row r="24" spans="1:23" s="7" customFormat="1" ht="19.5" hidden="1" customHeight="1">
      <c r="A24" s="236" t="s">
        <v>97</v>
      </c>
      <c r="B24" s="237"/>
      <c r="C24" s="237"/>
      <c r="D24" s="237"/>
      <c r="E24" s="237"/>
      <c r="F24" s="108">
        <v>0.36</v>
      </c>
      <c r="G24" s="106"/>
      <c r="H24" s="106"/>
      <c r="I24" s="107"/>
      <c r="J24" s="27"/>
      <c r="K24" s="38"/>
      <c r="L24"/>
      <c r="N24"/>
      <c r="O24"/>
      <c r="P24"/>
      <c r="Q24"/>
      <c r="R24"/>
      <c r="S24"/>
      <c r="T24"/>
      <c r="U24"/>
      <c r="V24"/>
      <c r="W24"/>
    </row>
    <row r="25" spans="1:23" ht="15" thickBot="1">
      <c r="A25" s="100"/>
      <c r="B25" s="101"/>
      <c r="C25" s="51"/>
      <c r="D25" s="102"/>
      <c r="E25" s="103"/>
      <c r="F25" s="104"/>
      <c r="G25" s="105"/>
      <c r="H25" s="41"/>
      <c r="I25" s="52"/>
      <c r="J25" s="27"/>
      <c r="K25" s="38"/>
    </row>
    <row r="26" spans="1:23" s="2" customFormat="1" ht="15.75" customHeight="1" thickBot="1">
      <c r="A26" s="249" t="s">
        <v>84</v>
      </c>
      <c r="B26" s="250"/>
      <c r="C26" s="250"/>
      <c r="D26" s="250"/>
      <c r="E26" s="250"/>
      <c r="F26" s="250"/>
      <c r="G26" s="250"/>
      <c r="H26" s="260"/>
      <c r="I26" s="204">
        <f>SUM(I17:I23)</f>
        <v>0</v>
      </c>
      <c r="K26" s="38"/>
      <c r="M26" s="8"/>
    </row>
    <row r="27" spans="1:23">
      <c r="A27" s="96"/>
      <c r="B27" s="97"/>
      <c r="C27" s="97"/>
      <c r="D27" s="97"/>
      <c r="E27" s="97"/>
      <c r="F27" s="98"/>
      <c r="G27" s="98"/>
      <c r="H27" s="98"/>
      <c r="I27" s="205"/>
      <c r="J27" s="27"/>
      <c r="K27" s="38"/>
    </row>
    <row r="28" spans="1:23" ht="27.75" customHeight="1" thickBot="1">
      <c r="A28" s="258" t="s">
        <v>51</v>
      </c>
      <c r="B28" s="259"/>
      <c r="C28" s="259"/>
      <c r="D28" s="259"/>
      <c r="E28" s="259"/>
      <c r="F28" s="259"/>
      <c r="G28" s="259"/>
      <c r="H28" s="259"/>
      <c r="I28" s="199">
        <f>ROUND(I14+I26,2)</f>
        <v>0</v>
      </c>
      <c r="J28" s="65"/>
      <c r="K28" s="13"/>
    </row>
    <row r="29" spans="1:23">
      <c r="B29" s="228"/>
      <c r="C29" s="228"/>
      <c r="D29" s="228"/>
      <c r="H29" s="15"/>
    </row>
    <row r="30" spans="1:23" ht="27.75" customHeight="1" thickBot="1">
      <c r="A30" s="258" t="s">
        <v>111</v>
      </c>
      <c r="B30" s="259"/>
      <c r="C30" s="259"/>
      <c r="D30" s="259"/>
      <c r="E30" s="259"/>
      <c r="F30" s="259"/>
      <c r="G30" s="259"/>
      <c r="H30" s="259"/>
      <c r="I30" s="199">
        <f>ROUND('1.0 Canteiro - 2.0 Caiçara'!I19+'1.0 Canteiro - 2.0 Caiçara'!I53+'3.0 José Antunes de Carvalho'!I29+'4.0 Travessa José A. de Carvalh'!I14+'5.0 Luiz Th. Lima'!I28,2)</f>
        <v>0</v>
      </c>
      <c r="J30" s="65"/>
      <c r="K30" s="13"/>
    </row>
    <row r="31" spans="1:23" s="4" customFormat="1">
      <c r="A31" s="5"/>
      <c r="B31"/>
      <c r="C31" s="12"/>
      <c r="D31" s="11"/>
      <c r="E31" s="2"/>
      <c r="F31" s="2"/>
      <c r="G31" s="49"/>
      <c r="H31" s="16"/>
      <c r="I31" s="10"/>
      <c r="J31" s="9"/>
      <c r="L31"/>
      <c r="M31" s="7"/>
      <c r="N31"/>
    </row>
    <row r="32" spans="1:23" s="4" customFormat="1">
      <c r="A32" s="5"/>
      <c r="B32"/>
      <c r="C32" s="12"/>
      <c r="D32" s="11"/>
      <c r="E32" s="2"/>
      <c r="F32" s="2"/>
      <c r="G32" s="49"/>
      <c r="H32" s="226"/>
      <c r="I32" s="226"/>
      <c r="J32" s="226"/>
      <c r="L32"/>
      <c r="M32" s="7"/>
      <c r="N32"/>
    </row>
    <row r="33" spans="1:14" s="4" customFormat="1">
      <c r="A33" s="5"/>
      <c r="B33"/>
      <c r="C33" s="12"/>
      <c r="D33" s="11"/>
      <c r="E33" s="261">
        <v>45273</v>
      </c>
      <c r="F33" s="261"/>
      <c r="G33" s="261"/>
      <c r="H33" s="261"/>
      <c r="I33" s="261"/>
      <c r="J33" s="261"/>
      <c r="L33"/>
      <c r="M33" s="7"/>
      <c r="N33"/>
    </row>
  </sheetData>
  <mergeCells count="25">
    <mergeCell ref="E33:J33"/>
    <mergeCell ref="K1:K2"/>
    <mergeCell ref="A1:A2"/>
    <mergeCell ref="B1:B2"/>
    <mergeCell ref="C1:C2"/>
    <mergeCell ref="D1:D2"/>
    <mergeCell ref="E1:E2"/>
    <mergeCell ref="F1:F2"/>
    <mergeCell ref="G1:G2"/>
    <mergeCell ref="I1:I2"/>
    <mergeCell ref="J1:J2"/>
    <mergeCell ref="H32:J32"/>
    <mergeCell ref="B29:D29"/>
    <mergeCell ref="A3:I3"/>
    <mergeCell ref="A6:E6"/>
    <mergeCell ref="A22:E22"/>
    <mergeCell ref="A30:H30"/>
    <mergeCell ref="A24:E24"/>
    <mergeCell ref="A26:H26"/>
    <mergeCell ref="A8:E8"/>
    <mergeCell ref="A10:E10"/>
    <mergeCell ref="A28:H28"/>
    <mergeCell ref="A14:H14"/>
    <mergeCell ref="A18:E18"/>
    <mergeCell ref="A20:E20"/>
  </mergeCells>
  <conditionalFormatting sqref="C21">
    <cfRule type="expression" dxfId="0" priority="1" stopIfTrue="1">
      <formula>I21&lt;6</formula>
    </cfRule>
  </conditionalFormatting>
  <printOptions horizontalCentered="1"/>
  <pageMargins left="0.31496062992125984" right="0.35433070866141736" top="1.2204724409448819" bottom="1.0236220472440944" header="3.937007874015748E-2" footer="3.937007874015748E-2"/>
  <pageSetup paperSize="9" scale="73" fitToHeight="0" orientation="portrait" r:id="rId1"/>
  <headerFooter>
    <oddHeader>&amp;L&amp;G&amp;C&amp;"-,Negrito"&amp;16PREFEITURA MUNICIPAL DE POTIM&amp;"-,Regular"&amp;11
&amp;12“TERRA DO ARTESANATO”</oddHeader>
    <oddFooter xml:space="preserve">&amp;CPraça Miguel Corrêa dos Ouros, 101   -   Centro   -   Potim   -   SP   -   CEP  12525-000
Telefax: (12) 3112.9200   -   E-mail: secretaria@potim.sp.gov.br
CNPJ:65.042.855/0001-20     -     I.E.:  Isento
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1A9E7-E1E7-4E2C-BA3E-964FC13C1ED1}">
  <sheetPr>
    <pageSetUpPr fitToPage="1"/>
  </sheetPr>
  <dimension ref="A1:F41"/>
  <sheetViews>
    <sheetView view="pageBreakPreview" zoomScale="85" zoomScaleNormal="90" zoomScaleSheetLayoutView="85" workbookViewId="0">
      <selection activeCell="B6" sqref="B6"/>
    </sheetView>
  </sheetViews>
  <sheetFormatPr defaultColWidth="8.90625" defaultRowHeight="15.5"/>
  <cols>
    <col min="1" max="1" width="20.54296875" style="136" customWidth="1"/>
    <col min="2" max="2" width="51.08984375" style="136" customWidth="1"/>
    <col min="3" max="3" width="27.453125" style="166" customWidth="1"/>
    <col min="4" max="4" width="30.1796875" style="166" customWidth="1"/>
    <col min="5" max="5" width="34.1796875" style="157" customWidth="1"/>
    <col min="6" max="6" width="18.54296875" style="136" bestFit="1" customWidth="1"/>
    <col min="7" max="16384" width="8.90625" style="136"/>
  </cols>
  <sheetData>
    <row r="1" spans="1:6" ht="30" customHeight="1">
      <c r="A1" s="135"/>
      <c r="B1" s="262" t="s">
        <v>101</v>
      </c>
      <c r="C1" s="263"/>
      <c r="D1" s="263"/>
      <c r="E1" s="268"/>
    </row>
    <row r="2" spans="1:6" ht="24.65" customHeight="1">
      <c r="A2" s="137"/>
      <c r="B2" s="275" t="s">
        <v>102</v>
      </c>
      <c r="C2" s="276"/>
      <c r="D2" s="276"/>
      <c r="E2" s="269"/>
    </row>
    <row r="3" spans="1:6" ht="29.4" customHeight="1">
      <c r="A3" s="266"/>
      <c r="B3" s="273" t="s">
        <v>168</v>
      </c>
      <c r="C3" s="274"/>
      <c r="D3" s="274"/>
      <c r="E3" s="269"/>
    </row>
    <row r="4" spans="1:6" ht="34.5" customHeight="1">
      <c r="A4" s="267"/>
      <c r="B4" s="271" t="s">
        <v>112</v>
      </c>
      <c r="C4" s="272"/>
      <c r="D4" s="272"/>
      <c r="E4" s="270"/>
    </row>
    <row r="5" spans="1:6">
      <c r="A5" s="138" t="s">
        <v>103</v>
      </c>
      <c r="B5" s="139" t="s">
        <v>104</v>
      </c>
      <c r="C5" s="159" t="s">
        <v>136</v>
      </c>
      <c r="D5" s="159" t="s">
        <v>137</v>
      </c>
      <c r="E5" s="153" t="s">
        <v>7</v>
      </c>
    </row>
    <row r="6" spans="1:6" ht="36.5" customHeight="1">
      <c r="A6" s="140" t="s">
        <v>10</v>
      </c>
      <c r="B6" s="152" t="e">
        <f>#REF!</f>
        <v>#REF!</v>
      </c>
      <c r="C6" s="195">
        <v>1</v>
      </c>
      <c r="D6" s="160"/>
      <c r="E6" s="154"/>
    </row>
    <row r="7" spans="1:6">
      <c r="A7" s="140"/>
      <c r="B7" s="141"/>
      <c r="C7" s="161" t="e">
        <f>#REF!</f>
        <v>#REF!</v>
      </c>
      <c r="D7" s="162"/>
      <c r="E7" s="154"/>
    </row>
    <row r="8" spans="1:6" ht="34.5" customHeight="1">
      <c r="A8" s="140" t="s">
        <v>105</v>
      </c>
      <c r="B8" s="142" t="e">
        <f>#REF!</f>
        <v>#REF!</v>
      </c>
      <c r="C8" s="195">
        <v>0.5</v>
      </c>
      <c r="D8" s="195">
        <v>0.5</v>
      </c>
      <c r="E8" s="154"/>
    </row>
    <row r="9" spans="1:6">
      <c r="A9" s="140"/>
      <c r="B9" s="142"/>
      <c r="C9" s="163" t="e">
        <f>#REF!*'CFF - Licitação'!C8</f>
        <v>#REF!</v>
      </c>
      <c r="D9" s="163" t="e">
        <f>#REF!*'CFF - Licitação'!D8</f>
        <v>#REF!</v>
      </c>
      <c r="E9" s="154"/>
    </row>
    <row r="10" spans="1:6" ht="36" customHeight="1">
      <c r="A10" s="140" t="s">
        <v>106</v>
      </c>
      <c r="B10" s="143" t="e">
        <f>#REF!</f>
        <v>#REF!</v>
      </c>
      <c r="C10" s="195">
        <v>0.5</v>
      </c>
      <c r="D10" s="195">
        <v>0.5</v>
      </c>
      <c r="E10" s="154"/>
    </row>
    <row r="11" spans="1:6">
      <c r="A11" s="140"/>
      <c r="B11" s="142"/>
      <c r="C11" s="163" t="e">
        <f>#REF!*'CFF - Licitação'!C10</f>
        <v>#REF!</v>
      </c>
      <c r="D11" s="163" t="e">
        <f>#REF!*'CFF - Licitação'!D10</f>
        <v>#REF!</v>
      </c>
      <c r="E11" s="154"/>
    </row>
    <row r="12" spans="1:6" ht="41.5" customHeight="1">
      <c r="A12" s="140" t="s">
        <v>107</v>
      </c>
      <c r="B12" s="141" t="e">
        <f>#REF!</f>
        <v>#REF!</v>
      </c>
      <c r="C12" s="195">
        <v>0.5</v>
      </c>
      <c r="D12" s="195">
        <v>0.5</v>
      </c>
      <c r="E12" s="154"/>
    </row>
    <row r="13" spans="1:6">
      <c r="A13" s="140"/>
      <c r="B13" s="142"/>
      <c r="C13" s="163" t="e">
        <f>#REF!*'CFF - Licitação'!C12</f>
        <v>#REF!</v>
      </c>
      <c r="D13" s="163" t="e">
        <f>#REF!*'CFF - Licitação'!D12</f>
        <v>#REF!</v>
      </c>
      <c r="E13" s="154"/>
    </row>
    <row r="14" spans="1:6" ht="31.4" customHeight="1">
      <c r="A14" s="140" t="s">
        <v>108</v>
      </c>
      <c r="B14" s="141" t="e">
        <f>#REF!</f>
        <v>#REF!</v>
      </c>
      <c r="C14" s="195">
        <v>0.5</v>
      </c>
      <c r="D14" s="195">
        <v>0.5</v>
      </c>
      <c r="E14" s="154"/>
    </row>
    <row r="15" spans="1:6" ht="16.399999999999999" customHeight="1" thickBot="1">
      <c r="A15" s="140"/>
      <c r="B15" s="142"/>
      <c r="C15" s="163" t="e">
        <f>#REF!*'CFF - Licitação'!C14</f>
        <v>#REF!</v>
      </c>
      <c r="D15" s="163" t="e">
        <f>#REF!*'CFF - Licitação'!D14</f>
        <v>#REF!</v>
      </c>
      <c r="E15" s="154"/>
    </row>
    <row r="16" spans="1:6" s="147" customFormat="1" ht="34" customHeight="1" thickBot="1">
      <c r="A16" s="144"/>
      <c r="B16" s="145"/>
      <c r="C16" s="164" t="e">
        <f>ROUND(SUM(C7,C9,C11,C13,C15),2)</f>
        <v>#REF!</v>
      </c>
      <c r="D16" s="164" t="e">
        <f>ROUND(SUM(D9,D11,D13,D15),2)</f>
        <v>#REF!</v>
      </c>
      <c r="E16" s="155"/>
      <c r="F16" s="146"/>
    </row>
    <row r="17" spans="1:6" s="147" customFormat="1" ht="28.65" customHeight="1" thickBot="1">
      <c r="A17" s="148" t="s">
        <v>109</v>
      </c>
      <c r="B17" s="149"/>
      <c r="C17" s="165"/>
      <c r="D17" s="165"/>
      <c r="E17" s="156" t="e">
        <f>C16+D16</f>
        <v>#REF!</v>
      </c>
    </row>
    <row r="18" spans="1:6">
      <c r="D18" s="167"/>
    </row>
    <row r="19" spans="1:6">
      <c r="A19" s="147"/>
      <c r="B19" s="147"/>
      <c r="C19" s="167"/>
      <c r="D19" s="277">
        <f ca="1">TODAY()</f>
        <v>45273</v>
      </c>
      <c r="E19" s="277"/>
      <c r="F19" s="158"/>
    </row>
    <row r="20" spans="1:6">
      <c r="D20" s="167"/>
      <c r="E20" s="170"/>
    </row>
    <row r="21" spans="1:6">
      <c r="A21" s="147"/>
      <c r="B21" s="147"/>
      <c r="C21" s="167"/>
      <c r="D21" s="167"/>
    </row>
    <row r="22" spans="1:6">
      <c r="D22" s="169"/>
    </row>
    <row r="23" spans="1:6">
      <c r="A23" s="264"/>
      <c r="B23" s="264"/>
      <c r="D23" s="169"/>
    </row>
    <row r="24" spans="1:6" ht="26.25" customHeight="1">
      <c r="A24" s="265"/>
      <c r="B24" s="265"/>
      <c r="C24" s="168"/>
      <c r="D24" s="167"/>
    </row>
    <row r="40" spans="1:2">
      <c r="A40" s="150"/>
      <c r="B40" s="150"/>
    </row>
    <row r="41" spans="1:2">
      <c r="A41" s="151"/>
      <c r="B41" s="151"/>
    </row>
  </sheetData>
  <mergeCells count="9">
    <mergeCell ref="B1:D1"/>
    <mergeCell ref="A23:B23"/>
    <mergeCell ref="A24:B24"/>
    <mergeCell ref="A3:A4"/>
    <mergeCell ref="E1:E4"/>
    <mergeCell ref="B4:D4"/>
    <mergeCell ref="B3:D3"/>
    <mergeCell ref="B2:D2"/>
    <mergeCell ref="D19:E19"/>
  </mergeCells>
  <printOptions horizontalCentered="1" verticalCentered="1"/>
  <pageMargins left="0.51181102362204722" right="0.51181102362204722" top="0.27559055118110237" bottom="0.31496062992125984" header="0.31496062992125984" footer="0.31496062992125984"/>
  <pageSetup paperSize="9" scale="83" fitToHeight="0" orientation="landscape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Memória de cálculo</vt:lpstr>
      <vt:lpstr>1.0 Canteiro - 2.0 Caiçara</vt:lpstr>
      <vt:lpstr>3.0 José Antunes de Carvalho</vt:lpstr>
      <vt:lpstr>4.0 Travessa José A. de Carvalh</vt:lpstr>
      <vt:lpstr>5.0 Luiz Th. Lima</vt:lpstr>
      <vt:lpstr>CFF - Licitação</vt:lpstr>
      <vt:lpstr>'1.0 Canteiro - 2.0 Caiçara'!Area_de_impressao</vt:lpstr>
      <vt:lpstr>'3.0 José Antunes de Carvalho'!Area_de_impressao</vt:lpstr>
      <vt:lpstr>'4.0 Travessa José A. de Carvalh'!Area_de_impressao</vt:lpstr>
      <vt:lpstr>'5.0 Luiz Th. Lima'!Area_de_impressao</vt:lpstr>
      <vt:lpstr>'CFF - Licitação'!Area_de_impressao</vt:lpstr>
      <vt:lpstr>'Memória de cálculo'!Area_de_impressao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Circe Bouzon</dc:creator>
  <cp:lastModifiedBy>Gabriel Emboaba</cp:lastModifiedBy>
  <cp:lastPrinted>2023-10-09T15:05:06Z</cp:lastPrinted>
  <dcterms:created xsi:type="dcterms:W3CDTF">2018-04-16T17:15:52Z</dcterms:created>
  <dcterms:modified xsi:type="dcterms:W3CDTF">2023-12-13T18:12:23Z</dcterms:modified>
</cp:coreProperties>
</file>