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001_DOCUMENTO PARA LICITAÇÃO\"/>
    </mc:Choice>
  </mc:AlternateContent>
  <bookViews>
    <workbookView xWindow="0" yWindow="0" windowWidth="20730" windowHeight="10275"/>
  </bookViews>
  <sheets>
    <sheet name="Resumo obras Bloquete" sheetId="9" r:id="rId1"/>
    <sheet name="Cronograma " sheetId="65" r:id="rId2"/>
    <sheet name="Canteiro Obra" sheetId="46" r:id="rId3"/>
    <sheet name="Rua Ceará" sheetId="8" r:id="rId4"/>
    <sheet name="Rua Rio de Janeiro" sheetId="47" r:id="rId5"/>
    <sheet name="Av.Benedito Sebe" sheetId="48" r:id="rId6"/>
    <sheet name="Av.Gumercindo Teberga Alves" sheetId="49" r:id="rId7"/>
    <sheet name="Rua Geraldo V. Mendes" sheetId="51" r:id="rId8"/>
    <sheet name="Rua João C. dos Santos" sheetId="50" r:id="rId9"/>
    <sheet name="Rua Orlando C. Castro" sheetId="53" r:id="rId10"/>
    <sheet name="Rua Jose V. do Carmo" sheetId="52" r:id="rId11"/>
    <sheet name="AV. Juvenal Antunes de Proença" sheetId="54" r:id="rId12"/>
    <sheet name="Rua José Maria Soarez" sheetId="56" r:id="rId13"/>
    <sheet name="Rua Ivone Rodrigues" sheetId="55" r:id="rId14"/>
    <sheet name="Rua Sebastião Lucio Rodrigues" sheetId="57" r:id="rId15"/>
    <sheet name="AV. Maria Amélia de Castro" sheetId="59" r:id="rId16"/>
    <sheet name="AV. Antonio Felipe dos S. Filho" sheetId="60" r:id="rId17"/>
    <sheet name="AV. Zulmira Proença" sheetId="61" r:id="rId18"/>
    <sheet name="Rua Francisco Teodoro d Santos" sheetId="62" r:id="rId19"/>
    <sheet name="Rua Elzira Ap. d Lima Val Verde" sheetId="70" r:id="rId20"/>
    <sheet name="Av Espirito Santo" sheetId="72" r:id="rId21"/>
  </sheets>
  <definedNames>
    <definedName name="_xlnm.Print_Area" localSheetId="20">'Av Espirito Santo'!$A$1:$K$33</definedName>
    <definedName name="_xlnm.Print_Area" localSheetId="16">'AV. Antonio Felipe dos S. Filho'!$A$1:$K$47</definedName>
    <definedName name="_xlnm.Print_Area" localSheetId="11">'AV. Juvenal Antunes de Proença'!$A$1:$K$48</definedName>
    <definedName name="_xlnm.Print_Area" localSheetId="15">'AV. Maria Amélia de Castro'!$A$1:$K$48</definedName>
    <definedName name="_xlnm.Print_Area" localSheetId="17">'AV. Zulmira Proença'!$A$1:$K$47</definedName>
    <definedName name="_xlnm.Print_Area" localSheetId="5">'Av.Benedito Sebe'!$A$1:$K$46</definedName>
    <definedName name="_xlnm.Print_Area" localSheetId="6">'Av.Gumercindo Teberga Alves'!$A$1:$K$46</definedName>
    <definedName name="_xlnm.Print_Area" localSheetId="2">'Canteiro Obra'!$A$1:$K$28</definedName>
    <definedName name="_xlnm.Print_Area" localSheetId="1">'Cronograma '!$A$1:$F$107</definedName>
    <definedName name="_xlnm.Print_Area" localSheetId="0">'Resumo obras Bloquete'!$A$1:$D$47</definedName>
    <definedName name="_xlnm.Print_Area" localSheetId="3">'Rua Ceará'!$A$1:$K$48</definedName>
    <definedName name="_xlnm.Print_Area" localSheetId="19">'Rua Elzira Ap. d Lima Val Verde'!$A$1:$K$43</definedName>
    <definedName name="_xlnm.Print_Area" localSheetId="18">'Rua Francisco Teodoro d Santos'!$A$1:$K$43</definedName>
    <definedName name="_xlnm.Print_Area" localSheetId="7">'Rua Geraldo V. Mendes'!$A$1:$K$42</definedName>
    <definedName name="_xlnm.Print_Area" localSheetId="13">'Rua Ivone Rodrigues'!$A$1:$K$40</definedName>
    <definedName name="_xlnm.Print_Area" localSheetId="8">'Rua João C. dos Santos'!$A$1:$K$41</definedName>
    <definedName name="_xlnm.Print_Area" localSheetId="12">'Rua José Maria Soarez'!$A$1:$K$44</definedName>
    <definedName name="_xlnm.Print_Area" localSheetId="10">'Rua Jose V. do Carmo'!$A$1:$K$43</definedName>
    <definedName name="_xlnm.Print_Area" localSheetId="9">'Rua Orlando C. Castro'!$A$1:$K$42</definedName>
    <definedName name="_xlnm.Print_Area" localSheetId="4">'Rua Rio de Janeiro'!$A$1:$K$43</definedName>
    <definedName name="_xlnm.Print_Area" localSheetId="14">'Rua Sebastião Lucio Rodrigues'!$A$1:$K$43</definedName>
  </definedNames>
  <calcPr calcId="152511"/>
</workbook>
</file>

<file path=xl/calcChain.xml><?xml version="1.0" encoding="utf-8"?>
<calcChain xmlns="http://schemas.openxmlformats.org/spreadsheetml/2006/main">
  <c r="H27" i="60" l="1"/>
  <c r="H26" i="60"/>
  <c r="H26" i="59"/>
  <c r="H25" i="59"/>
  <c r="H22" i="57"/>
  <c r="H21" i="57"/>
  <c r="H23" i="56"/>
  <c r="H22" i="56"/>
  <c r="H28" i="54"/>
  <c r="H27" i="54"/>
  <c r="H23" i="52"/>
  <c r="H22" i="52"/>
  <c r="H22" i="53"/>
  <c r="H21" i="53"/>
  <c r="H22" i="50"/>
  <c r="H21" i="50"/>
  <c r="H22" i="51"/>
  <c r="H21" i="51"/>
  <c r="H27" i="49"/>
  <c r="H26" i="49"/>
  <c r="H26" i="48"/>
  <c r="H27" i="48"/>
  <c r="H26" i="8"/>
  <c r="H25" i="8"/>
  <c r="C22" i="9"/>
  <c r="C21" i="9"/>
  <c r="C20" i="9"/>
  <c r="C19" i="9"/>
  <c r="C18" i="9"/>
  <c r="C17" i="9"/>
  <c r="C16" i="9"/>
  <c r="C15" i="9"/>
  <c r="C14" i="9"/>
  <c r="C13" i="9"/>
  <c r="C12" i="9"/>
  <c r="C11" i="9"/>
  <c r="C10" i="9"/>
  <c r="C9" i="9"/>
  <c r="C8" i="9"/>
  <c r="C7" i="9"/>
  <c r="C6" i="9"/>
  <c r="C5" i="9"/>
  <c r="H15" i="72"/>
  <c r="H22" i="70"/>
  <c r="H24" i="70"/>
  <c r="H23" i="70"/>
  <c r="H21" i="70"/>
  <c r="H20" i="70"/>
  <c r="H27" i="61"/>
  <c r="H26" i="61"/>
  <c r="H23" i="62"/>
  <c r="H22" i="62"/>
  <c r="H24" i="62"/>
  <c r="H28" i="60"/>
  <c r="H29" i="60"/>
  <c r="H28" i="59"/>
  <c r="H25" i="56"/>
  <c r="H24" i="53"/>
  <c r="H25" i="52"/>
  <c r="H27" i="59"/>
  <c r="G4" i="47"/>
  <c r="H17" i="8"/>
  <c r="H9" i="46"/>
  <c r="A7" i="9" l="1"/>
  <c r="A6" i="9"/>
  <c r="A5" i="9"/>
  <c r="H21" i="8" l="1"/>
  <c r="H22" i="8"/>
  <c r="H18" i="57"/>
  <c r="H17" i="57"/>
  <c r="H23" i="48"/>
  <c r="H22" i="48"/>
  <c r="H22" i="59"/>
  <c r="H21" i="59"/>
  <c r="H17" i="70" l="1"/>
  <c r="H16" i="70"/>
  <c r="H29" i="59" l="1"/>
  <c r="E24" i="70" l="1"/>
  <c r="D24" i="70"/>
  <c r="E23" i="70"/>
  <c r="D23" i="70"/>
  <c r="E22" i="70"/>
  <c r="D22" i="70"/>
  <c r="E21" i="70"/>
  <c r="D21" i="70"/>
  <c r="E20" i="70"/>
  <c r="D20" i="70"/>
  <c r="H26" i="62"/>
  <c r="E26" i="62"/>
  <c r="D26" i="62"/>
  <c r="H25" i="62"/>
  <c r="E25" i="62"/>
  <c r="D25" i="62"/>
  <c r="E24" i="62"/>
  <c r="D24" i="62"/>
  <c r="E23" i="62"/>
  <c r="D23" i="62"/>
  <c r="E22" i="62"/>
  <c r="D22" i="62"/>
  <c r="H30" i="61"/>
  <c r="E30" i="61"/>
  <c r="D30" i="61"/>
  <c r="H29" i="61"/>
  <c r="E29" i="61"/>
  <c r="D29" i="61"/>
  <c r="H28" i="61"/>
  <c r="E28" i="61"/>
  <c r="D28" i="61"/>
  <c r="E27" i="61"/>
  <c r="D27" i="61"/>
  <c r="E26" i="61"/>
  <c r="D26" i="61"/>
  <c r="H30" i="60"/>
  <c r="E30" i="60"/>
  <c r="D30" i="60"/>
  <c r="E29" i="60"/>
  <c r="D29" i="60"/>
  <c r="E28" i="60"/>
  <c r="D28" i="60"/>
  <c r="E27" i="60"/>
  <c r="D27" i="60"/>
  <c r="E26" i="60"/>
  <c r="D26" i="60"/>
  <c r="E29" i="59"/>
  <c r="D29" i="59"/>
  <c r="E28" i="59"/>
  <c r="D28" i="59"/>
  <c r="E27" i="59"/>
  <c r="D27" i="59"/>
  <c r="E26" i="59"/>
  <c r="D26" i="59"/>
  <c r="E25" i="59"/>
  <c r="D25" i="59"/>
  <c r="H25" i="57"/>
  <c r="E25" i="57"/>
  <c r="D25" i="57"/>
  <c r="H24" i="57"/>
  <c r="E24" i="57"/>
  <c r="D24" i="57"/>
  <c r="H23" i="57"/>
  <c r="E23" i="57"/>
  <c r="D23" i="57"/>
  <c r="E22" i="57"/>
  <c r="D22" i="57"/>
  <c r="E21" i="57"/>
  <c r="D21" i="57"/>
  <c r="H26" i="56"/>
  <c r="E26" i="56"/>
  <c r="D26" i="56"/>
  <c r="E25" i="56"/>
  <c r="D25" i="56"/>
  <c r="H24" i="56"/>
  <c r="E24" i="56"/>
  <c r="D24" i="56"/>
  <c r="E23" i="56"/>
  <c r="D23" i="56"/>
  <c r="E22" i="56"/>
  <c r="D22" i="56"/>
  <c r="H31" i="54"/>
  <c r="E31" i="54"/>
  <c r="D31" i="54"/>
  <c r="H30" i="54"/>
  <c r="E30" i="54"/>
  <c r="D30" i="54"/>
  <c r="H29" i="54"/>
  <c r="E29" i="54"/>
  <c r="D29" i="54"/>
  <c r="E28" i="54"/>
  <c r="D28" i="54"/>
  <c r="E27" i="54"/>
  <c r="D27" i="54"/>
  <c r="H26" i="52"/>
  <c r="E26" i="52"/>
  <c r="D26" i="52"/>
  <c r="E25" i="52"/>
  <c r="D25" i="52"/>
  <c r="H24" i="52"/>
  <c r="E24" i="52"/>
  <c r="D24" i="52"/>
  <c r="E23" i="52"/>
  <c r="D23" i="52"/>
  <c r="E22" i="52"/>
  <c r="D22" i="52"/>
  <c r="H25" i="53"/>
  <c r="E25" i="53"/>
  <c r="D25" i="53"/>
  <c r="E24" i="53"/>
  <c r="D24" i="53"/>
  <c r="H23" i="53"/>
  <c r="E23" i="53"/>
  <c r="D23" i="53"/>
  <c r="E22" i="53"/>
  <c r="D22" i="53"/>
  <c r="E21" i="53"/>
  <c r="D21" i="53"/>
  <c r="H25" i="50"/>
  <c r="E25" i="50"/>
  <c r="D25" i="50"/>
  <c r="H24" i="50"/>
  <c r="E24" i="50"/>
  <c r="D24" i="50"/>
  <c r="H23" i="50"/>
  <c r="E23" i="50"/>
  <c r="D23" i="50"/>
  <c r="E22" i="50"/>
  <c r="D22" i="50"/>
  <c r="E21" i="50"/>
  <c r="D21" i="50"/>
  <c r="H25" i="51"/>
  <c r="E25" i="51"/>
  <c r="D25" i="51"/>
  <c r="H24" i="51"/>
  <c r="E24" i="51"/>
  <c r="D24" i="51"/>
  <c r="H23" i="51"/>
  <c r="E23" i="51"/>
  <c r="D23" i="51"/>
  <c r="E22" i="51"/>
  <c r="D22" i="51"/>
  <c r="E21" i="51"/>
  <c r="D21" i="51"/>
  <c r="H30" i="49"/>
  <c r="E30" i="49"/>
  <c r="D30" i="49"/>
  <c r="H29" i="49"/>
  <c r="E29" i="49"/>
  <c r="D29" i="49"/>
  <c r="H28" i="49"/>
  <c r="E28" i="49"/>
  <c r="D28" i="49"/>
  <c r="E27" i="49"/>
  <c r="D27" i="49"/>
  <c r="E26" i="49"/>
  <c r="D26" i="49"/>
  <c r="H30" i="48"/>
  <c r="E30" i="48"/>
  <c r="D30" i="48"/>
  <c r="H29" i="48"/>
  <c r="E29" i="48"/>
  <c r="D29" i="48"/>
  <c r="H28" i="48"/>
  <c r="E28" i="48"/>
  <c r="D28" i="48"/>
  <c r="E27" i="48"/>
  <c r="D27" i="48"/>
  <c r="E26" i="48"/>
  <c r="D26" i="48"/>
  <c r="E29" i="8"/>
  <c r="D29" i="8"/>
  <c r="E28" i="8"/>
  <c r="D28" i="8"/>
  <c r="E27" i="8"/>
  <c r="D27" i="8"/>
  <c r="E26" i="8"/>
  <c r="D26" i="8"/>
  <c r="E25" i="8"/>
  <c r="D25" i="8"/>
  <c r="H19" i="59" l="1"/>
  <c r="H23" i="61"/>
  <c r="H22" i="61"/>
  <c r="H21" i="61"/>
  <c r="H21" i="55"/>
  <c r="H20" i="55"/>
  <c r="H19" i="55"/>
  <c r="A22" i="9" l="1"/>
  <c r="A80" i="65" s="1"/>
  <c r="M15" i="72"/>
  <c r="E15" i="72"/>
  <c r="D15" i="72"/>
  <c r="M14" i="72"/>
  <c r="M13" i="72"/>
  <c r="M12" i="72"/>
  <c r="E12" i="72"/>
  <c r="D12" i="72"/>
  <c r="M9" i="72"/>
  <c r="E9" i="72"/>
  <c r="D9" i="72"/>
  <c r="M6" i="72"/>
  <c r="E6" i="72"/>
  <c r="D6" i="72"/>
  <c r="G4" i="72"/>
  <c r="G13" i="72" l="1"/>
  <c r="G14" i="72"/>
  <c r="G15" i="72"/>
  <c r="G9" i="72"/>
  <c r="G6" i="72"/>
  <c r="G12" i="72"/>
  <c r="I12" i="72" l="1"/>
  <c r="I9" i="72"/>
  <c r="I6" i="72"/>
  <c r="I15" i="72"/>
  <c r="I13" i="72"/>
  <c r="I14" i="72"/>
  <c r="J16" i="72" l="1"/>
  <c r="J10" i="72"/>
  <c r="J7" i="72"/>
  <c r="J17" i="72" s="1"/>
  <c r="K16" i="72" l="1"/>
  <c r="E82" i="65"/>
  <c r="B22" i="9"/>
  <c r="K10" i="72"/>
  <c r="K12" i="72"/>
  <c r="K6" i="72"/>
  <c r="K14" i="72"/>
  <c r="K15" i="72"/>
  <c r="K9" i="72"/>
  <c r="K13" i="72"/>
  <c r="K7" i="72"/>
  <c r="K17" i="72" l="1"/>
  <c r="A21" i="9"/>
  <c r="A76" i="65" s="1"/>
  <c r="D17" i="70"/>
  <c r="E17" i="70"/>
  <c r="H11" i="70"/>
  <c r="H19" i="62"/>
  <c r="H18" i="62"/>
  <c r="H13" i="62"/>
  <c r="H17" i="61"/>
  <c r="D23" i="61"/>
  <c r="E23" i="61"/>
  <c r="H7" i="61" l="1"/>
  <c r="H23" i="60"/>
  <c r="H22" i="60"/>
  <c r="D23" i="60"/>
  <c r="E23" i="60"/>
  <c r="H17" i="60"/>
  <c r="H7" i="60"/>
  <c r="D22" i="59"/>
  <c r="E22" i="59"/>
  <c r="H20" i="59"/>
  <c r="H16" i="59"/>
  <c r="H16" i="57"/>
  <c r="D18" i="57"/>
  <c r="E18" i="57"/>
  <c r="G18" i="57"/>
  <c r="H12" i="57"/>
  <c r="H19" i="56"/>
  <c r="H18" i="56"/>
  <c r="H17" i="56"/>
  <c r="G16" i="56"/>
  <c r="I16" i="56" s="1"/>
  <c r="D21" i="55"/>
  <c r="E21" i="55"/>
  <c r="H16" i="55"/>
  <c r="D19" i="56"/>
  <c r="E19" i="56"/>
  <c r="H13" i="56"/>
  <c r="H24" i="54"/>
  <c r="H23" i="54"/>
  <c r="D24" i="54"/>
  <c r="E24" i="54"/>
  <c r="H20" i="49"/>
  <c r="H18" i="54"/>
  <c r="H7" i="54"/>
  <c r="H19" i="52"/>
  <c r="H18" i="52"/>
  <c r="H17" i="52"/>
  <c r="D19" i="52"/>
  <c r="E19" i="52"/>
  <c r="H13" i="52"/>
  <c r="H18" i="53"/>
  <c r="H17" i="53"/>
  <c r="D18" i="53"/>
  <c r="E18" i="53"/>
  <c r="H16" i="53"/>
  <c r="H12" i="53"/>
  <c r="H18" i="50"/>
  <c r="H17" i="50"/>
  <c r="D18" i="50"/>
  <c r="E18" i="50"/>
  <c r="H16" i="50"/>
  <c r="H12" i="50"/>
  <c r="H18" i="51"/>
  <c r="D18" i="51"/>
  <c r="E18" i="51"/>
  <c r="H17" i="51"/>
  <c r="H16" i="51"/>
  <c r="H12" i="51"/>
  <c r="H23" i="49"/>
  <c r="H22" i="49"/>
  <c r="H21" i="49"/>
  <c r="H17" i="49"/>
  <c r="H7" i="49"/>
  <c r="D23" i="49"/>
  <c r="E23" i="49"/>
  <c r="H21" i="48"/>
  <c r="I18" i="57" l="1"/>
  <c r="D23" i="48" l="1"/>
  <c r="E23" i="48"/>
  <c r="H17" i="48"/>
  <c r="D22" i="47"/>
  <c r="E22" i="47"/>
  <c r="G22" i="47"/>
  <c r="I22" i="47" s="1"/>
  <c r="H18" i="47"/>
  <c r="H7" i="47"/>
  <c r="D22" i="8"/>
  <c r="E22" i="8"/>
  <c r="G22" i="8"/>
  <c r="M16" i="8"/>
  <c r="H7" i="8"/>
  <c r="I22" i="8" l="1"/>
  <c r="H14" i="8"/>
  <c r="D19" i="62" l="1"/>
  <c r="E19" i="62"/>
  <c r="E22" i="55" l="1"/>
  <c r="E19" i="70" l="1"/>
  <c r="M18" i="70"/>
  <c r="M16" i="70"/>
  <c r="E16" i="70"/>
  <c r="D16" i="70"/>
  <c r="E15" i="70"/>
  <c r="D15" i="70"/>
  <c r="M14" i="70"/>
  <c r="M11" i="70"/>
  <c r="E11" i="70"/>
  <c r="D11" i="70"/>
  <c r="E10" i="70"/>
  <c r="D10" i="70"/>
  <c r="E7" i="70"/>
  <c r="D7" i="70"/>
  <c r="G4" i="70"/>
  <c r="G14" i="70" l="1"/>
  <c r="I14" i="70" s="1"/>
  <c r="G20" i="70"/>
  <c r="I20" i="70" s="1"/>
  <c r="G23" i="70"/>
  <c r="I23" i="70" s="1"/>
  <c r="G24" i="70"/>
  <c r="I24" i="70" s="1"/>
  <c r="G22" i="70"/>
  <c r="I22" i="70" s="1"/>
  <c r="G21" i="70"/>
  <c r="I21" i="70" s="1"/>
  <c r="G17" i="70"/>
  <c r="I17" i="70" s="1"/>
  <c r="G19" i="70"/>
  <c r="I19" i="70" s="1"/>
  <c r="G10" i="70"/>
  <c r="I10" i="70" s="1"/>
  <c r="G15" i="70"/>
  <c r="I15" i="70" s="1"/>
  <c r="G7" i="70"/>
  <c r="I7" i="70" s="1"/>
  <c r="J8" i="70" s="1"/>
  <c r="G11" i="70"/>
  <c r="I11" i="70" s="1"/>
  <c r="M7" i="70"/>
  <c r="M10" i="70"/>
  <c r="M15" i="70"/>
  <c r="G16" i="70"/>
  <c r="I16" i="70" s="1"/>
  <c r="G18" i="70"/>
  <c r="I18" i="70" s="1"/>
  <c r="M19" i="70"/>
  <c r="D8" i="46"/>
  <c r="E8" i="46"/>
  <c r="D7" i="46"/>
  <c r="E7" i="46"/>
  <c r="E6" i="46"/>
  <c r="D6" i="46"/>
  <c r="P11" i="57"/>
  <c r="J12" i="70" l="1"/>
  <c r="J25" i="70"/>
  <c r="J26" i="70" s="1"/>
  <c r="E21" i="62"/>
  <c r="D18" i="62"/>
  <c r="E18" i="62"/>
  <c r="E17" i="62"/>
  <c r="D17" i="62"/>
  <c r="D13" i="62"/>
  <c r="E13" i="62"/>
  <c r="E10" i="62"/>
  <c r="D10" i="62"/>
  <c r="E7" i="62"/>
  <c r="D7" i="62"/>
  <c r="E25" i="61"/>
  <c r="D22" i="61"/>
  <c r="E22" i="61"/>
  <c r="E21" i="61"/>
  <c r="D21" i="61"/>
  <c r="D17" i="61"/>
  <c r="E17" i="61"/>
  <c r="E14" i="61"/>
  <c r="D14" i="61"/>
  <c r="E11" i="61"/>
  <c r="D11" i="61"/>
  <c r="D8" i="61"/>
  <c r="E8" i="61"/>
  <c r="E7" i="61"/>
  <c r="D7" i="61"/>
  <c r="E25" i="60"/>
  <c r="D22" i="60"/>
  <c r="E22" i="60"/>
  <c r="E21" i="60"/>
  <c r="D21" i="60"/>
  <c r="E17" i="60"/>
  <c r="D17" i="60"/>
  <c r="E14" i="60"/>
  <c r="D14" i="60"/>
  <c r="D8" i="60"/>
  <c r="E8" i="60"/>
  <c r="E11" i="60"/>
  <c r="D11" i="60"/>
  <c r="E7" i="60"/>
  <c r="D7" i="60"/>
  <c r="E24" i="59"/>
  <c r="D21" i="59"/>
  <c r="E21" i="59"/>
  <c r="E20" i="59"/>
  <c r="D20" i="59"/>
  <c r="D16" i="59"/>
  <c r="E16" i="59"/>
  <c r="E14" i="59"/>
  <c r="D14" i="59"/>
  <c r="E11" i="59"/>
  <c r="D11" i="59"/>
  <c r="D8" i="59"/>
  <c r="E8" i="59"/>
  <c r="E7" i="59"/>
  <c r="D7" i="59"/>
  <c r="E20" i="57"/>
  <c r="D17" i="57"/>
  <c r="E17" i="57"/>
  <c r="E16" i="57"/>
  <c r="D16" i="57"/>
  <c r="E12" i="57"/>
  <c r="D12" i="57"/>
  <c r="E10" i="57"/>
  <c r="D10" i="57"/>
  <c r="E7" i="57"/>
  <c r="D7" i="57"/>
  <c r="E21" i="56"/>
  <c r="D18" i="56"/>
  <c r="E18" i="56"/>
  <c r="E17" i="56"/>
  <c r="D17" i="56"/>
  <c r="E13" i="56"/>
  <c r="D13" i="56"/>
  <c r="E10" i="56"/>
  <c r="D10" i="56"/>
  <c r="E7" i="56"/>
  <c r="D7" i="56"/>
  <c r="D20" i="55"/>
  <c r="E20" i="55"/>
  <c r="E19" i="55"/>
  <c r="D19" i="55"/>
  <c r="D16" i="55"/>
  <c r="E16" i="55"/>
  <c r="E14" i="55"/>
  <c r="D14" i="55"/>
  <c r="E11" i="55"/>
  <c r="D11" i="55"/>
  <c r="D8" i="55"/>
  <c r="E8" i="55"/>
  <c r="E7" i="55"/>
  <c r="D7" i="55"/>
  <c r="E26" i="54"/>
  <c r="D23" i="54"/>
  <c r="E23" i="54"/>
  <c r="E22" i="54"/>
  <c r="D22" i="54"/>
  <c r="E18" i="54"/>
  <c r="D18" i="54"/>
  <c r="E14" i="54"/>
  <c r="D14" i="54"/>
  <c r="E11" i="54"/>
  <c r="D11" i="54"/>
  <c r="D8" i="54"/>
  <c r="E8" i="54"/>
  <c r="E7" i="54"/>
  <c r="D7" i="54"/>
  <c r="E21" i="52"/>
  <c r="D18" i="52"/>
  <c r="E18" i="52"/>
  <c r="E17" i="52"/>
  <c r="D17" i="52"/>
  <c r="D13" i="52"/>
  <c r="E13" i="52"/>
  <c r="E10" i="52"/>
  <c r="D10" i="52"/>
  <c r="E7" i="52"/>
  <c r="D7" i="52"/>
  <c r="D17" i="53"/>
  <c r="E17" i="53"/>
  <c r="E16" i="53"/>
  <c r="D16" i="53"/>
  <c r="D12" i="53"/>
  <c r="E12" i="53"/>
  <c r="E10" i="53"/>
  <c r="D10" i="53"/>
  <c r="E7" i="53"/>
  <c r="D7" i="53"/>
  <c r="C78" i="65" l="1"/>
  <c r="E20" i="51"/>
  <c r="D17" i="51"/>
  <c r="E17" i="51"/>
  <c r="E16" i="51"/>
  <c r="D16" i="51"/>
  <c r="D12" i="51"/>
  <c r="E12" i="51"/>
  <c r="E10" i="51"/>
  <c r="D10" i="51"/>
  <c r="E7" i="51"/>
  <c r="D7" i="51"/>
  <c r="G4" i="51"/>
  <c r="E20" i="50"/>
  <c r="D17" i="50"/>
  <c r="E17" i="50"/>
  <c r="E16" i="50"/>
  <c r="D16" i="50"/>
  <c r="D12" i="50"/>
  <c r="E12" i="50"/>
  <c r="E10" i="50"/>
  <c r="D10" i="50"/>
  <c r="E7" i="50"/>
  <c r="D7" i="50"/>
  <c r="E25" i="49"/>
  <c r="D22" i="49"/>
  <c r="E22" i="49"/>
  <c r="E21" i="49"/>
  <c r="D21" i="49"/>
  <c r="D17" i="49"/>
  <c r="E17" i="49"/>
  <c r="E14" i="49"/>
  <c r="D14" i="49"/>
  <c r="D14" i="48"/>
  <c r="E14" i="48"/>
  <c r="E11" i="49"/>
  <c r="D11" i="49"/>
  <c r="D8" i="49"/>
  <c r="E8" i="49"/>
  <c r="E7" i="49"/>
  <c r="D7" i="49"/>
  <c r="E25" i="48"/>
  <c r="D22" i="48"/>
  <c r="E22" i="48"/>
  <c r="E21" i="48"/>
  <c r="D21" i="48"/>
  <c r="D17" i="48"/>
  <c r="E17" i="48"/>
  <c r="E11" i="48"/>
  <c r="D11" i="48"/>
  <c r="D8" i="48"/>
  <c r="E8" i="48"/>
  <c r="E7" i="48"/>
  <c r="D7" i="48"/>
  <c r="G24" i="51" l="1"/>
  <c r="I24" i="51" s="1"/>
  <c r="G25" i="51"/>
  <c r="I25" i="51" s="1"/>
  <c r="G23" i="51"/>
  <c r="I23" i="51" s="1"/>
  <c r="G22" i="51"/>
  <c r="I22" i="51" s="1"/>
  <c r="G21" i="51"/>
  <c r="I21" i="51" s="1"/>
  <c r="G18" i="51"/>
  <c r="I18" i="51" s="1"/>
  <c r="G17" i="51"/>
  <c r="K20" i="70"/>
  <c r="K24" i="70"/>
  <c r="K21" i="70"/>
  <c r="K19" i="70"/>
  <c r="K22" i="70"/>
  <c r="K23" i="70"/>
  <c r="B21" i="9"/>
  <c r="K17" i="70"/>
  <c r="K18" i="70"/>
  <c r="K12" i="70"/>
  <c r="K11" i="70"/>
  <c r="K25" i="70"/>
  <c r="K8" i="70"/>
  <c r="K16" i="70"/>
  <c r="K15" i="70"/>
  <c r="K7" i="70"/>
  <c r="K10" i="70"/>
  <c r="K14" i="70"/>
  <c r="K26" i="70" l="1"/>
  <c r="G23" i="47"/>
  <c r="G16" i="47"/>
  <c r="I16" i="47" s="1"/>
  <c r="G17" i="47"/>
  <c r="I17" i="47" s="1"/>
  <c r="G15" i="47"/>
  <c r="I15" i="47" s="1"/>
  <c r="G24" i="47"/>
  <c r="E24" i="47"/>
  <c r="D21" i="47"/>
  <c r="E21" i="47"/>
  <c r="G21" i="47"/>
  <c r="G18" i="47"/>
  <c r="E18" i="47"/>
  <c r="D18" i="47"/>
  <c r="G14" i="47"/>
  <c r="I14" i="47" s="1"/>
  <c r="E14" i="47"/>
  <c r="D14" i="47"/>
  <c r="G11" i="47"/>
  <c r="I11" i="47" s="1"/>
  <c r="J12" i="47" s="1"/>
  <c r="E11" i="47"/>
  <c r="D11" i="47"/>
  <c r="D8" i="47"/>
  <c r="E8" i="47"/>
  <c r="G8" i="47"/>
  <c r="I8" i="47" s="1"/>
  <c r="G7" i="47"/>
  <c r="I7" i="47" s="1"/>
  <c r="J9" i="47" s="1"/>
  <c r="E7" i="47"/>
  <c r="D7" i="47"/>
  <c r="G24" i="8"/>
  <c r="I24" i="8" s="1"/>
  <c r="E24" i="8"/>
  <c r="G21" i="8"/>
  <c r="I21" i="8" s="1"/>
  <c r="E21" i="8"/>
  <c r="D21" i="8"/>
  <c r="G17" i="8"/>
  <c r="E17" i="8"/>
  <c r="D17" i="8"/>
  <c r="G14" i="8"/>
  <c r="I14" i="8" s="1"/>
  <c r="E14" i="8"/>
  <c r="D14" i="8"/>
  <c r="G11" i="8"/>
  <c r="I11" i="8" s="1"/>
  <c r="J12" i="8" s="1"/>
  <c r="E11" i="8"/>
  <c r="D11" i="8"/>
  <c r="G8" i="8"/>
  <c r="I8" i="8" s="1"/>
  <c r="E8" i="8"/>
  <c r="D8" i="8"/>
  <c r="G7" i="8"/>
  <c r="I7" i="8" s="1"/>
  <c r="E7" i="8"/>
  <c r="D7" i="8"/>
  <c r="J9" i="8" l="1"/>
  <c r="M7" i="62"/>
  <c r="M10" i="62"/>
  <c r="M11" i="62"/>
  <c r="M12" i="62"/>
  <c r="M13" i="62"/>
  <c r="M16" i="62"/>
  <c r="M17" i="62"/>
  <c r="M18" i="62"/>
  <c r="M20" i="62"/>
  <c r="M21" i="62"/>
  <c r="M7" i="61"/>
  <c r="M8" i="61"/>
  <c r="M11" i="61"/>
  <c r="M14" i="61"/>
  <c r="M15" i="61"/>
  <c r="M16" i="61"/>
  <c r="M17" i="61"/>
  <c r="M20" i="61"/>
  <c r="M21" i="61"/>
  <c r="M22" i="61"/>
  <c r="M24" i="61"/>
  <c r="M25" i="61"/>
  <c r="M7" i="60"/>
  <c r="M8" i="60"/>
  <c r="M11" i="60"/>
  <c r="M14" i="60"/>
  <c r="M15" i="60"/>
  <c r="M16" i="60"/>
  <c r="M17" i="60"/>
  <c r="M20" i="60"/>
  <c r="M21" i="60"/>
  <c r="M22" i="60"/>
  <c r="M24" i="60"/>
  <c r="M25" i="60"/>
  <c r="M7" i="59"/>
  <c r="M8" i="59"/>
  <c r="M11" i="59"/>
  <c r="M14" i="59"/>
  <c r="M15" i="59"/>
  <c r="M16" i="59"/>
  <c r="M19" i="59"/>
  <c r="M20" i="59"/>
  <c r="M21" i="59"/>
  <c r="M23" i="59"/>
  <c r="M24" i="59"/>
  <c r="M7" i="57"/>
  <c r="M10" i="57"/>
  <c r="M11" i="57"/>
  <c r="M12" i="57"/>
  <c r="M15" i="57"/>
  <c r="M16" i="57"/>
  <c r="M17" i="57"/>
  <c r="M19" i="57"/>
  <c r="M20" i="57"/>
  <c r="M7" i="56"/>
  <c r="M10" i="56"/>
  <c r="M11" i="56"/>
  <c r="M12" i="56"/>
  <c r="M13" i="56"/>
  <c r="M17" i="56"/>
  <c r="M18" i="56"/>
  <c r="M21" i="56"/>
  <c r="M7" i="55"/>
  <c r="M8" i="55"/>
  <c r="M11" i="55"/>
  <c r="M14" i="55"/>
  <c r="M15" i="55"/>
  <c r="M16" i="55"/>
  <c r="M19" i="55"/>
  <c r="M20" i="55"/>
  <c r="M22" i="55"/>
  <c r="M7" i="54"/>
  <c r="M8" i="54"/>
  <c r="M11" i="54"/>
  <c r="M14" i="54"/>
  <c r="M15" i="54"/>
  <c r="M16" i="54"/>
  <c r="M17" i="54"/>
  <c r="M18" i="54"/>
  <c r="M21" i="54"/>
  <c r="M22" i="54"/>
  <c r="M23" i="54"/>
  <c r="M25" i="54"/>
  <c r="M26" i="54"/>
  <c r="M7" i="48"/>
  <c r="M8" i="48"/>
  <c r="M11" i="48"/>
  <c r="M14" i="48"/>
  <c r="M15" i="48"/>
  <c r="M16" i="48"/>
  <c r="M17" i="48"/>
  <c r="M20" i="48"/>
  <c r="M21" i="48"/>
  <c r="M22" i="48"/>
  <c r="M24" i="48"/>
  <c r="M25" i="48"/>
  <c r="M7" i="8"/>
  <c r="M8" i="8"/>
  <c r="M9" i="8"/>
  <c r="M10" i="8"/>
  <c r="M11" i="8"/>
  <c r="M14" i="8"/>
  <c r="M15" i="8"/>
  <c r="M17" i="8"/>
  <c r="M20" i="8"/>
  <c r="M21" i="8"/>
  <c r="N24" i="8"/>
  <c r="M7" i="46"/>
  <c r="M8" i="46"/>
  <c r="M9" i="46"/>
  <c r="M6" i="46"/>
  <c r="H29" i="8" l="1"/>
  <c r="H28" i="8"/>
  <c r="H27" i="8"/>
  <c r="A9" i="9" l="1"/>
  <c r="A28" i="65" s="1"/>
  <c r="C24" i="9" l="1"/>
  <c r="E21" i="9"/>
  <c r="E22" i="9" l="1"/>
  <c r="F21" i="9"/>
  <c r="G4" i="62" l="1"/>
  <c r="G4" i="53"/>
  <c r="G4" i="50"/>
  <c r="G4" i="49"/>
  <c r="G4" i="48"/>
  <c r="G4" i="8"/>
  <c r="G4" i="46"/>
  <c r="A20" i="9"/>
  <c r="A72" i="65" s="1"/>
  <c r="A19" i="9"/>
  <c r="A68" i="65" s="1"/>
  <c r="A18" i="9"/>
  <c r="A64" i="65" s="1"/>
  <c r="A17" i="9"/>
  <c r="A60" i="65" s="1"/>
  <c r="A16" i="9"/>
  <c r="A56" i="65" s="1"/>
  <c r="A15" i="9"/>
  <c r="A52" i="65" s="1"/>
  <c r="A14" i="9"/>
  <c r="A48" i="65" s="1"/>
  <c r="G23" i="62" l="1"/>
  <c r="I23" i="62" s="1"/>
  <c r="G26" i="62"/>
  <c r="I26" i="62" s="1"/>
  <c r="G22" i="62"/>
  <c r="I22" i="62" s="1"/>
  <c r="G25" i="62"/>
  <c r="I25" i="62" s="1"/>
  <c r="G24" i="62"/>
  <c r="I24" i="62" s="1"/>
  <c r="G16" i="53"/>
  <c r="I16" i="53" s="1"/>
  <c r="G24" i="53"/>
  <c r="I24" i="53" s="1"/>
  <c r="G23" i="53"/>
  <c r="I23" i="53" s="1"/>
  <c r="G21" i="53"/>
  <c r="I21" i="53" s="1"/>
  <c r="G22" i="53"/>
  <c r="I22" i="53" s="1"/>
  <c r="G25" i="53"/>
  <c r="I25" i="53" s="1"/>
  <c r="G18" i="53"/>
  <c r="I18" i="53" s="1"/>
  <c r="G25" i="50"/>
  <c r="I25" i="50" s="1"/>
  <c r="G24" i="50"/>
  <c r="I24" i="50" s="1"/>
  <c r="G21" i="50"/>
  <c r="I21" i="50" s="1"/>
  <c r="G22" i="50"/>
  <c r="I22" i="50" s="1"/>
  <c r="G23" i="50"/>
  <c r="I23" i="50" s="1"/>
  <c r="G18" i="50"/>
  <c r="I18" i="50" s="1"/>
  <c r="G8" i="49"/>
  <c r="I8" i="49" s="1"/>
  <c r="G26" i="49"/>
  <c r="I26" i="49" s="1"/>
  <c r="G30" i="49"/>
  <c r="I30" i="49" s="1"/>
  <c r="G28" i="49"/>
  <c r="I28" i="49" s="1"/>
  <c r="G27" i="49"/>
  <c r="I27" i="49" s="1"/>
  <c r="G29" i="49"/>
  <c r="I29" i="49" s="1"/>
  <c r="G27" i="48"/>
  <c r="I27" i="48" s="1"/>
  <c r="G26" i="48"/>
  <c r="I26" i="48" s="1"/>
  <c r="G28" i="48"/>
  <c r="I28" i="48" s="1"/>
  <c r="G29" i="48"/>
  <c r="I29" i="48" s="1"/>
  <c r="G30" i="48"/>
  <c r="I30" i="48" s="1"/>
  <c r="G16" i="8"/>
  <c r="I16" i="8" s="1"/>
  <c r="G26" i="8"/>
  <c r="I26" i="8" s="1"/>
  <c r="G27" i="8"/>
  <c r="I27" i="8" s="1"/>
  <c r="G28" i="8"/>
  <c r="I28" i="8" s="1"/>
  <c r="G29" i="8"/>
  <c r="I29" i="8" s="1"/>
  <c r="G25" i="8"/>
  <c r="I25" i="8" s="1"/>
  <c r="G17" i="62"/>
  <c r="I17" i="62" s="1"/>
  <c r="G19" i="62"/>
  <c r="G21" i="49"/>
  <c r="I21" i="49" s="1"/>
  <c r="G23" i="49"/>
  <c r="I23" i="49" s="1"/>
  <c r="G22" i="48"/>
  <c r="I22" i="48" s="1"/>
  <c r="G8" i="48"/>
  <c r="G23" i="48"/>
  <c r="I23" i="48" s="1"/>
  <c r="G4" i="54"/>
  <c r="G4" i="59"/>
  <c r="G4" i="56"/>
  <c r="G18" i="56" s="1"/>
  <c r="G4" i="61"/>
  <c r="G4" i="52"/>
  <c r="G4" i="55"/>
  <c r="G22" i="55" s="1"/>
  <c r="G4" i="57"/>
  <c r="G4" i="60"/>
  <c r="G14" i="48"/>
  <c r="I14" i="48" s="1"/>
  <c r="G7" i="48"/>
  <c r="I7" i="48" s="1"/>
  <c r="G16" i="48"/>
  <c r="I16" i="48" s="1"/>
  <c r="G21" i="48"/>
  <c r="I21" i="48" s="1"/>
  <c r="G11" i="48"/>
  <c r="I11" i="48" s="1"/>
  <c r="J12" i="48" s="1"/>
  <c r="G15" i="48"/>
  <c r="I15" i="48" s="1"/>
  <c r="G17" i="48"/>
  <c r="I17" i="48" s="1"/>
  <c r="G20" i="48"/>
  <c r="I20" i="48" s="1"/>
  <c r="G25" i="48"/>
  <c r="G24" i="48"/>
  <c r="I24" i="48" s="1"/>
  <c r="I8" i="48"/>
  <c r="G7" i="62"/>
  <c r="G11" i="62"/>
  <c r="G13" i="62"/>
  <c r="G16" i="62"/>
  <c r="G21" i="62"/>
  <c r="G10" i="62"/>
  <c r="G20" i="62"/>
  <c r="G18" i="62"/>
  <c r="G12" i="62"/>
  <c r="G16" i="61"/>
  <c r="I16" i="61" s="1"/>
  <c r="G7" i="53"/>
  <c r="G12" i="53"/>
  <c r="G15" i="53"/>
  <c r="I15" i="53" s="1"/>
  <c r="G20" i="53"/>
  <c r="I20" i="53" s="1"/>
  <c r="G10" i="53"/>
  <c r="G19" i="53"/>
  <c r="I19" i="53" s="1"/>
  <c r="G17" i="53"/>
  <c r="I17" i="53" s="1"/>
  <c r="G11" i="53"/>
  <c r="G16" i="51"/>
  <c r="G15" i="51"/>
  <c r="G7" i="51"/>
  <c r="G19" i="51"/>
  <c r="G10" i="51"/>
  <c r="G20" i="51"/>
  <c r="G12" i="51"/>
  <c r="G16" i="50"/>
  <c r="I16" i="50" s="1"/>
  <c r="G11" i="50"/>
  <c r="I11" i="50" s="1"/>
  <c r="G17" i="50"/>
  <c r="I17" i="50" s="1"/>
  <c r="G19" i="50"/>
  <c r="I19" i="50" s="1"/>
  <c r="G20" i="50"/>
  <c r="G15" i="50"/>
  <c r="I15" i="50" s="1"/>
  <c r="G12" i="50"/>
  <c r="G7" i="50"/>
  <c r="I7" i="50" s="1"/>
  <c r="G10" i="50"/>
  <c r="G11" i="49"/>
  <c r="I11" i="49" s="1"/>
  <c r="G15" i="49"/>
  <c r="I15" i="49" s="1"/>
  <c r="G17" i="49"/>
  <c r="G20" i="49"/>
  <c r="I20" i="49" s="1"/>
  <c r="G25" i="49"/>
  <c r="G14" i="49"/>
  <c r="I14" i="49" s="1"/>
  <c r="G24" i="49"/>
  <c r="I24" i="49" s="1"/>
  <c r="G22" i="49"/>
  <c r="I22" i="49" s="1"/>
  <c r="G7" i="49"/>
  <c r="I7" i="49" s="1"/>
  <c r="G16" i="49"/>
  <c r="I16" i="49" s="1"/>
  <c r="G9" i="46"/>
  <c r="G6" i="46"/>
  <c r="I6" i="46" s="1"/>
  <c r="G7" i="46"/>
  <c r="G8" i="46"/>
  <c r="G23" i="8"/>
  <c r="I23" i="8" s="1"/>
  <c r="G15" i="8"/>
  <c r="I15" i="8" s="1"/>
  <c r="G20" i="8"/>
  <c r="I20" i="8" s="1"/>
  <c r="J9" i="48" l="1"/>
  <c r="J18" i="48"/>
  <c r="J26" i="53"/>
  <c r="G26" i="61"/>
  <c r="I26" i="61" s="1"/>
  <c r="G29" i="61"/>
  <c r="I29" i="61" s="1"/>
  <c r="G28" i="61"/>
  <c r="I28" i="61" s="1"/>
  <c r="G27" i="61"/>
  <c r="I27" i="61" s="1"/>
  <c r="G30" i="61"/>
  <c r="I30" i="61" s="1"/>
  <c r="G28" i="60"/>
  <c r="I28" i="60" s="1"/>
  <c r="G29" i="60"/>
  <c r="I29" i="60" s="1"/>
  <c r="G27" i="60"/>
  <c r="I27" i="60" s="1"/>
  <c r="G30" i="60"/>
  <c r="I30" i="60" s="1"/>
  <c r="G26" i="60"/>
  <c r="I26" i="60" s="1"/>
  <c r="G11" i="56"/>
  <c r="I11" i="56" s="1"/>
  <c r="G17" i="52"/>
  <c r="I17" i="52" s="1"/>
  <c r="G22" i="52"/>
  <c r="I22" i="52" s="1"/>
  <c r="G25" i="52"/>
  <c r="I25" i="52" s="1"/>
  <c r="G23" i="52"/>
  <c r="I23" i="52" s="1"/>
  <c r="G26" i="52"/>
  <c r="I26" i="52" s="1"/>
  <c r="G24" i="52"/>
  <c r="I24" i="52" s="1"/>
  <c r="G19" i="52"/>
  <c r="I19" i="52" s="1"/>
  <c r="J30" i="8"/>
  <c r="G7" i="56"/>
  <c r="G19" i="56"/>
  <c r="G23" i="56"/>
  <c r="I23" i="56" s="1"/>
  <c r="G22" i="56"/>
  <c r="I22" i="56" s="1"/>
  <c r="G24" i="56"/>
  <c r="I24" i="56" s="1"/>
  <c r="G25" i="56"/>
  <c r="I25" i="56" s="1"/>
  <c r="G26" i="56"/>
  <c r="I26" i="56" s="1"/>
  <c r="G20" i="56"/>
  <c r="I20" i="56" s="1"/>
  <c r="G21" i="56"/>
  <c r="G13" i="56"/>
  <c r="I13" i="56" s="1"/>
  <c r="G10" i="56"/>
  <c r="I10" i="56" s="1"/>
  <c r="G22" i="57"/>
  <c r="I22" i="57" s="1"/>
  <c r="G24" i="57"/>
  <c r="I24" i="57" s="1"/>
  <c r="G23" i="57"/>
  <c r="I23" i="57" s="1"/>
  <c r="G25" i="57"/>
  <c r="I25" i="57" s="1"/>
  <c r="G21" i="57"/>
  <c r="I21" i="57" s="1"/>
  <c r="G26" i="59"/>
  <c r="I26" i="59" s="1"/>
  <c r="G27" i="59"/>
  <c r="I27" i="59" s="1"/>
  <c r="G28" i="59"/>
  <c r="I28" i="59" s="1"/>
  <c r="G29" i="59"/>
  <c r="I29" i="59" s="1"/>
  <c r="G25" i="59"/>
  <c r="I25" i="59" s="1"/>
  <c r="G22" i="54"/>
  <c r="G30" i="54"/>
  <c r="I30" i="54" s="1"/>
  <c r="G31" i="54"/>
  <c r="I31" i="54" s="1"/>
  <c r="G29" i="54"/>
  <c r="I29" i="54" s="1"/>
  <c r="G27" i="54"/>
  <c r="I27" i="54" s="1"/>
  <c r="G28" i="54"/>
  <c r="I28" i="54" s="1"/>
  <c r="G24" i="54"/>
  <c r="I24" i="54" s="1"/>
  <c r="I19" i="62"/>
  <c r="G21" i="61"/>
  <c r="I21" i="61" s="1"/>
  <c r="G23" i="61"/>
  <c r="I23" i="61" s="1"/>
  <c r="I16" i="62"/>
  <c r="I10" i="62"/>
  <c r="I13" i="62"/>
  <c r="I20" i="62"/>
  <c r="I12" i="62"/>
  <c r="I18" i="62"/>
  <c r="I11" i="62"/>
  <c r="I21" i="62"/>
  <c r="I7" i="62"/>
  <c r="G22" i="61"/>
  <c r="I22" i="61" s="1"/>
  <c r="G21" i="60"/>
  <c r="I21" i="60" s="1"/>
  <c r="G23" i="60"/>
  <c r="G20" i="59"/>
  <c r="I20" i="59" s="1"/>
  <c r="G22" i="59"/>
  <c r="G21" i="59"/>
  <c r="I21" i="59" s="1"/>
  <c r="G16" i="59"/>
  <c r="G16" i="57"/>
  <c r="I16" i="57" s="1"/>
  <c r="G19" i="55"/>
  <c r="G21" i="55"/>
  <c r="I19" i="56"/>
  <c r="I18" i="56"/>
  <c r="G15" i="54"/>
  <c r="I15" i="54" s="1"/>
  <c r="G25" i="54"/>
  <c r="J9" i="49"/>
  <c r="I7" i="56"/>
  <c r="G20" i="61"/>
  <c r="I20" i="61" s="1"/>
  <c r="G8" i="61"/>
  <c r="I8" i="61" s="1"/>
  <c r="G17" i="61"/>
  <c r="I17" i="61" s="1"/>
  <c r="G25" i="61"/>
  <c r="I25" i="61" s="1"/>
  <c r="G7" i="59"/>
  <c r="G23" i="59"/>
  <c r="G14" i="59"/>
  <c r="G11" i="59"/>
  <c r="G20" i="55"/>
  <c r="G7" i="54"/>
  <c r="G18" i="54"/>
  <c r="I18" i="54" s="1"/>
  <c r="G16" i="54"/>
  <c r="I16" i="54" s="1"/>
  <c r="G8" i="54"/>
  <c r="G17" i="54"/>
  <c r="I17" i="54" s="1"/>
  <c r="G26" i="54"/>
  <c r="G11" i="54"/>
  <c r="G23" i="54"/>
  <c r="G14" i="54"/>
  <c r="I14" i="54" s="1"/>
  <c r="G21" i="54"/>
  <c r="G7" i="52"/>
  <c r="I7" i="52" s="1"/>
  <c r="G10" i="52"/>
  <c r="I10" i="52" s="1"/>
  <c r="G11" i="51"/>
  <c r="G15" i="61"/>
  <c r="I15" i="61" s="1"/>
  <c r="G11" i="61"/>
  <c r="I11" i="61" s="1"/>
  <c r="G7" i="61"/>
  <c r="I7" i="61" s="1"/>
  <c r="G24" i="61"/>
  <c r="I24" i="61" s="1"/>
  <c r="G24" i="59"/>
  <c r="G15" i="59"/>
  <c r="G8" i="59"/>
  <c r="G19" i="59"/>
  <c r="G12" i="56"/>
  <c r="I12" i="56" s="1"/>
  <c r="G17" i="56"/>
  <c r="G13" i="52"/>
  <c r="I13" i="52" s="1"/>
  <c r="G20" i="52"/>
  <c r="I20" i="52" s="1"/>
  <c r="J9" i="61"/>
  <c r="G11" i="52"/>
  <c r="I11" i="52" s="1"/>
  <c r="G14" i="61"/>
  <c r="I14" i="61" s="1"/>
  <c r="G14" i="55"/>
  <c r="G18" i="52"/>
  <c r="I18" i="52" s="1"/>
  <c r="G8" i="55"/>
  <c r="G19" i="57"/>
  <c r="I19" i="57" s="1"/>
  <c r="G16" i="55"/>
  <c r="G21" i="52"/>
  <c r="G7" i="55"/>
  <c r="G15" i="55"/>
  <c r="G12" i="52"/>
  <c r="I12" i="52" s="1"/>
  <c r="G16" i="52"/>
  <c r="I16" i="52" s="1"/>
  <c r="G11" i="55"/>
  <c r="G7" i="57"/>
  <c r="I7" i="57" s="1"/>
  <c r="G14" i="60"/>
  <c r="G17" i="57"/>
  <c r="I17" i="57" s="1"/>
  <c r="G10" i="57"/>
  <c r="I10" i="57" s="1"/>
  <c r="G16" i="60"/>
  <c r="G8" i="60"/>
  <c r="G25" i="60"/>
  <c r="G20" i="60"/>
  <c r="G7" i="60"/>
  <c r="G17" i="60"/>
  <c r="G11" i="57"/>
  <c r="I11" i="57" s="1"/>
  <c r="G20" i="57"/>
  <c r="I20" i="57" s="1"/>
  <c r="G15" i="60"/>
  <c r="G15" i="57"/>
  <c r="I15" i="57" s="1"/>
  <c r="G24" i="60"/>
  <c r="G11" i="60"/>
  <c r="G12" i="57"/>
  <c r="I12" i="57" s="1"/>
  <c r="G22" i="60"/>
  <c r="J13" i="57" l="1"/>
  <c r="J14" i="62"/>
  <c r="J18" i="61"/>
  <c r="J26" i="57"/>
  <c r="J14" i="56"/>
  <c r="J19" i="54"/>
  <c r="J27" i="62"/>
  <c r="J31" i="61"/>
  <c r="J8" i="62"/>
  <c r="J12" i="61"/>
  <c r="I23" i="60"/>
  <c r="I7" i="60"/>
  <c r="I25" i="60"/>
  <c r="I14" i="60"/>
  <c r="I11" i="60"/>
  <c r="J12" i="60" s="1"/>
  <c r="I20" i="60"/>
  <c r="I8" i="60"/>
  <c r="I22" i="60"/>
  <c r="I15" i="60"/>
  <c r="I17" i="60"/>
  <c r="I16" i="60"/>
  <c r="I24" i="60"/>
  <c r="I22" i="59"/>
  <c r="I24" i="59"/>
  <c r="I7" i="59"/>
  <c r="I16" i="59"/>
  <c r="I19" i="59"/>
  <c r="I11" i="59"/>
  <c r="I8" i="59"/>
  <c r="I14" i="59"/>
  <c r="I23" i="59"/>
  <c r="I15" i="59"/>
  <c r="J8" i="57"/>
  <c r="I21" i="55"/>
  <c r="I17" i="56"/>
  <c r="I21" i="56"/>
  <c r="J8" i="56"/>
  <c r="J8" i="52"/>
  <c r="J14" i="52"/>
  <c r="J27" i="56" l="1"/>
  <c r="J28" i="56" s="1"/>
  <c r="K21" i="56" s="1"/>
  <c r="J17" i="59"/>
  <c r="J31" i="60"/>
  <c r="J18" i="60"/>
  <c r="J9" i="60"/>
  <c r="J32" i="60" s="1"/>
  <c r="J30" i="59"/>
  <c r="J27" i="57"/>
  <c r="J28" i="62"/>
  <c r="K12" i="62" s="1"/>
  <c r="K30" i="61"/>
  <c r="K28" i="61"/>
  <c r="K27" i="61"/>
  <c r="K26" i="61"/>
  <c r="K29" i="61"/>
  <c r="K30" i="60"/>
  <c r="K26" i="60"/>
  <c r="K28" i="60"/>
  <c r="K27" i="60"/>
  <c r="K29" i="60"/>
  <c r="J32" i="61"/>
  <c r="K31" i="61" s="1"/>
  <c r="J9" i="59"/>
  <c r="J12" i="59"/>
  <c r="K20" i="62" l="1"/>
  <c r="K16" i="62"/>
  <c r="K27" i="62"/>
  <c r="K13" i="62"/>
  <c r="B20" i="9"/>
  <c r="K17" i="62"/>
  <c r="K10" i="62"/>
  <c r="K7" i="62"/>
  <c r="K18" i="62"/>
  <c r="K11" i="62"/>
  <c r="K14" i="62"/>
  <c r="K8" i="62"/>
  <c r="K28" i="62" s="1"/>
  <c r="J31" i="59"/>
  <c r="E74" i="65"/>
  <c r="K25" i="62"/>
  <c r="K22" i="62"/>
  <c r="K26" i="62"/>
  <c r="K23" i="62"/>
  <c r="K21" i="62"/>
  <c r="K24" i="62"/>
  <c r="K19" i="62"/>
  <c r="K18" i="57"/>
  <c r="K20" i="57"/>
  <c r="K25" i="57"/>
  <c r="K24" i="57"/>
  <c r="K21" i="57"/>
  <c r="K23" i="57"/>
  <c r="K22" i="57"/>
  <c r="K25" i="56"/>
  <c r="K26" i="56"/>
  <c r="K23" i="56"/>
  <c r="K24" i="56"/>
  <c r="K22" i="56"/>
  <c r="K23" i="61"/>
  <c r="K15" i="61"/>
  <c r="K8" i="61"/>
  <c r="K18" i="61"/>
  <c r="K17" i="61"/>
  <c r="K14" i="61"/>
  <c r="K25" i="61"/>
  <c r="K20" i="56"/>
  <c r="K16" i="56"/>
  <c r="E54" i="65"/>
  <c r="K19" i="56"/>
  <c r="K11" i="56"/>
  <c r="K12" i="56"/>
  <c r="K17" i="56"/>
  <c r="K14" i="56"/>
  <c r="B15" i="9"/>
  <c r="K10" i="56"/>
  <c r="K18" i="56"/>
  <c r="K8" i="56"/>
  <c r="K27" i="56"/>
  <c r="K13" i="56"/>
  <c r="K7" i="56"/>
  <c r="K21" i="61"/>
  <c r="K11" i="61"/>
  <c r="K20" i="61"/>
  <c r="K16" i="61"/>
  <c r="K9" i="61"/>
  <c r="K7" i="61"/>
  <c r="K24" i="61"/>
  <c r="K22" i="61"/>
  <c r="K12" i="61"/>
  <c r="B19" i="9"/>
  <c r="K11" i="57"/>
  <c r="E58" i="65"/>
  <c r="K17" i="57"/>
  <c r="K26" i="57"/>
  <c r="K13" i="57"/>
  <c r="K7" i="57"/>
  <c r="K10" i="57"/>
  <c r="K19" i="57"/>
  <c r="B16" i="9"/>
  <c r="K15" i="57"/>
  <c r="K12" i="57"/>
  <c r="K8" i="57"/>
  <c r="K16" i="57"/>
  <c r="I22" i="55"/>
  <c r="I20" i="55"/>
  <c r="I19" i="55"/>
  <c r="I16" i="55"/>
  <c r="I15" i="55"/>
  <c r="I14" i="55"/>
  <c r="I11" i="55"/>
  <c r="J12" i="55" s="1"/>
  <c r="I8" i="55"/>
  <c r="I7" i="55"/>
  <c r="A13" i="9"/>
  <c r="A44" i="65" s="1"/>
  <c r="I26" i="54"/>
  <c r="I25" i="54"/>
  <c r="I23" i="54"/>
  <c r="I22" i="54"/>
  <c r="I21" i="54"/>
  <c r="I11" i="54"/>
  <c r="J12" i="54" s="1"/>
  <c r="I8" i="54"/>
  <c r="I7" i="54"/>
  <c r="I17" i="49"/>
  <c r="J18" i="49" s="1"/>
  <c r="A12" i="9"/>
  <c r="A40" i="65" s="1"/>
  <c r="A11" i="9"/>
  <c r="A36" i="65" s="1"/>
  <c r="A10" i="9"/>
  <c r="A32" i="65" s="1"/>
  <c r="A8" i="9"/>
  <c r="A24" i="65" s="1"/>
  <c r="A20" i="65"/>
  <c r="A16" i="65"/>
  <c r="A12" i="65"/>
  <c r="A4" i="9"/>
  <c r="A8" i="65" s="1"/>
  <c r="I11" i="53"/>
  <c r="I10" i="53"/>
  <c r="I7" i="53"/>
  <c r="J8" i="53" s="1"/>
  <c r="I21" i="52"/>
  <c r="I20" i="51"/>
  <c r="I19" i="51"/>
  <c r="I17" i="51"/>
  <c r="I16" i="51"/>
  <c r="I15" i="51"/>
  <c r="I11" i="51"/>
  <c r="I10" i="51"/>
  <c r="I7" i="51"/>
  <c r="I12" i="50"/>
  <c r="I20" i="50"/>
  <c r="J26" i="50" s="1"/>
  <c r="I10" i="50"/>
  <c r="J8" i="50"/>
  <c r="J12" i="49"/>
  <c r="I25" i="49"/>
  <c r="J31" i="49" s="1"/>
  <c r="I25" i="48"/>
  <c r="J31" i="48" s="1"/>
  <c r="J32" i="48" s="1"/>
  <c r="I24" i="47"/>
  <c r="I18" i="47"/>
  <c r="J19" i="47" s="1"/>
  <c r="I17" i="8"/>
  <c r="J18" i="8" s="1"/>
  <c r="J31" i="8" s="1"/>
  <c r="I23" i="47"/>
  <c r="I21" i="47"/>
  <c r="I8" i="46"/>
  <c r="I7" i="46"/>
  <c r="J25" i="47" l="1"/>
  <c r="J32" i="54"/>
  <c r="J9" i="54"/>
  <c r="K32" i="61"/>
  <c r="J17" i="55"/>
  <c r="J23" i="55"/>
  <c r="J33" i="54"/>
  <c r="J13" i="50"/>
  <c r="J27" i="50" s="1"/>
  <c r="J32" i="49"/>
  <c r="K23" i="49" s="1"/>
  <c r="J26" i="47"/>
  <c r="K27" i="57"/>
  <c r="K28" i="56"/>
  <c r="J27" i="52"/>
  <c r="J8" i="51"/>
  <c r="J26" i="51"/>
  <c r="K28" i="48"/>
  <c r="K27" i="48"/>
  <c r="K29" i="48"/>
  <c r="K26" i="48"/>
  <c r="K30" i="48"/>
  <c r="K27" i="49"/>
  <c r="K29" i="49"/>
  <c r="K26" i="49"/>
  <c r="K30" i="49"/>
  <c r="K28" i="49"/>
  <c r="K24" i="59"/>
  <c r="K26" i="59"/>
  <c r="K27" i="59"/>
  <c r="K25" i="59"/>
  <c r="K28" i="59"/>
  <c r="K29" i="59"/>
  <c r="K28" i="8"/>
  <c r="K25" i="8"/>
  <c r="K29" i="8"/>
  <c r="K26" i="8"/>
  <c r="K24" i="8"/>
  <c r="K27" i="8"/>
  <c r="K22" i="8"/>
  <c r="E66" i="65"/>
  <c r="K23" i="60"/>
  <c r="K17" i="59"/>
  <c r="K22" i="59"/>
  <c r="K22" i="60"/>
  <c r="K16" i="60"/>
  <c r="K25" i="60"/>
  <c r="K9" i="60"/>
  <c r="K11" i="60"/>
  <c r="B18" i="9"/>
  <c r="K12" i="60"/>
  <c r="K14" i="60"/>
  <c r="K17" i="60"/>
  <c r="K31" i="60"/>
  <c r="K21" i="60"/>
  <c r="K24" i="60"/>
  <c r="K18" i="60"/>
  <c r="K20" i="60"/>
  <c r="K7" i="60"/>
  <c r="K8" i="60"/>
  <c r="K15" i="60"/>
  <c r="K21" i="59"/>
  <c r="K7" i="59"/>
  <c r="B17" i="9"/>
  <c r="K19" i="59"/>
  <c r="K23" i="59"/>
  <c r="D62" i="65"/>
  <c r="K9" i="59"/>
  <c r="K11" i="59"/>
  <c r="K8" i="59"/>
  <c r="K16" i="59"/>
  <c r="K15" i="59"/>
  <c r="K20" i="59"/>
  <c r="K12" i="59"/>
  <c r="K14" i="59"/>
  <c r="K30" i="59"/>
  <c r="E70" i="65"/>
  <c r="J9" i="55"/>
  <c r="J24" i="55" s="1"/>
  <c r="I12" i="53"/>
  <c r="J13" i="53" s="1"/>
  <c r="J27" i="53" s="1"/>
  <c r="I12" i="51"/>
  <c r="J13" i="51" s="1"/>
  <c r="I9" i="46"/>
  <c r="J10" i="46" s="1"/>
  <c r="K32" i="60" l="1"/>
  <c r="K31" i="59"/>
  <c r="K23" i="52"/>
  <c r="K22" i="52"/>
  <c r="K26" i="52"/>
  <c r="K24" i="52"/>
  <c r="K25" i="52"/>
  <c r="J28" i="52"/>
  <c r="K19" i="52" s="1"/>
  <c r="J27" i="51"/>
  <c r="K22" i="47"/>
  <c r="K18" i="50"/>
  <c r="K22" i="50"/>
  <c r="K23" i="50"/>
  <c r="K21" i="50"/>
  <c r="K24" i="50"/>
  <c r="K25" i="50"/>
  <c r="K23" i="48"/>
  <c r="D30" i="65"/>
  <c r="C26" i="65"/>
  <c r="J11" i="46"/>
  <c r="D42" i="65" l="1"/>
  <c r="K30" i="54"/>
  <c r="K31" i="54"/>
  <c r="K27" i="54"/>
  <c r="K29" i="54"/>
  <c r="K28" i="54"/>
  <c r="K21" i="53"/>
  <c r="K23" i="53"/>
  <c r="K22" i="53"/>
  <c r="K24" i="53"/>
  <c r="K25" i="53"/>
  <c r="K18" i="51"/>
  <c r="K19" i="51"/>
  <c r="K20" i="51"/>
  <c r="K23" i="51"/>
  <c r="K21" i="51"/>
  <c r="K25" i="51"/>
  <c r="K22" i="51"/>
  <c r="K24" i="51"/>
  <c r="D46" i="65"/>
  <c r="K24" i="54"/>
  <c r="D38" i="65"/>
  <c r="K18" i="53"/>
  <c r="D10" i="65"/>
  <c r="C10" i="65"/>
  <c r="E10" i="65"/>
  <c r="E90" i="65" s="1"/>
  <c r="D34" i="65"/>
  <c r="C18" i="65"/>
  <c r="B13" i="9"/>
  <c r="B12" i="9"/>
  <c r="B11" i="9"/>
  <c r="B9" i="9"/>
  <c r="B8" i="9"/>
  <c r="B6" i="9"/>
  <c r="K6" i="46"/>
  <c r="B10" i="9"/>
  <c r="K26" i="51"/>
  <c r="K8" i="46"/>
  <c r="B4" i="9"/>
  <c r="K9" i="48"/>
  <c r="B7" i="9"/>
  <c r="K16" i="54"/>
  <c r="K11" i="54"/>
  <c r="K26" i="54"/>
  <c r="K7" i="54"/>
  <c r="K22" i="54"/>
  <c r="K8" i="54"/>
  <c r="K25" i="54"/>
  <c r="K14" i="54"/>
  <c r="K23" i="54"/>
  <c r="K15" i="54"/>
  <c r="K18" i="54"/>
  <c r="K21" i="54"/>
  <c r="K9" i="54"/>
  <c r="K19" i="54"/>
  <c r="K12" i="54"/>
  <c r="K32" i="54"/>
  <c r="K26" i="53"/>
  <c r="K17" i="53"/>
  <c r="K7" i="53"/>
  <c r="K13" i="53"/>
  <c r="K11" i="53"/>
  <c r="K15" i="53"/>
  <c r="K16" i="53"/>
  <c r="K12" i="53"/>
  <c r="K10" i="53"/>
  <c r="K20" i="53"/>
  <c r="K19" i="53"/>
  <c r="K8" i="53"/>
  <c r="K17" i="52"/>
  <c r="K13" i="52"/>
  <c r="K16" i="52"/>
  <c r="K7" i="52"/>
  <c r="K10" i="52"/>
  <c r="K21" i="52"/>
  <c r="K12" i="52"/>
  <c r="K11" i="52"/>
  <c r="K14" i="52"/>
  <c r="K18" i="52"/>
  <c r="K20" i="52"/>
  <c r="K8" i="52"/>
  <c r="K27" i="52"/>
  <c r="K11" i="51"/>
  <c r="K7" i="51"/>
  <c r="K17" i="51"/>
  <c r="K16" i="51"/>
  <c r="K12" i="51"/>
  <c r="K10" i="51"/>
  <c r="K15" i="51"/>
  <c r="K13" i="51"/>
  <c r="K8" i="51"/>
  <c r="K12" i="50"/>
  <c r="K20" i="50"/>
  <c r="K10" i="50"/>
  <c r="K15" i="50"/>
  <c r="K11" i="50"/>
  <c r="K7" i="50"/>
  <c r="K19" i="50"/>
  <c r="K17" i="50"/>
  <c r="K16" i="50"/>
  <c r="K13" i="50"/>
  <c r="K8" i="50"/>
  <c r="K26" i="50"/>
  <c r="K12" i="49"/>
  <c r="K9" i="49"/>
  <c r="K20" i="49"/>
  <c r="K7" i="49"/>
  <c r="K25" i="49"/>
  <c r="K17" i="49"/>
  <c r="K22" i="49"/>
  <c r="K21" i="49"/>
  <c r="K8" i="49"/>
  <c r="K24" i="49"/>
  <c r="K16" i="49"/>
  <c r="K14" i="49"/>
  <c r="K15" i="49"/>
  <c r="K11" i="49"/>
  <c r="K18" i="49"/>
  <c r="K31" i="49"/>
  <c r="K25" i="48"/>
  <c r="K20" i="48"/>
  <c r="K15" i="48"/>
  <c r="K11" i="48"/>
  <c r="K22" i="48"/>
  <c r="K21" i="48"/>
  <c r="K17" i="48"/>
  <c r="K18" i="48"/>
  <c r="K24" i="48"/>
  <c r="K8" i="48"/>
  <c r="K16" i="48"/>
  <c r="K14" i="48"/>
  <c r="K7" i="48"/>
  <c r="K12" i="48"/>
  <c r="K31" i="48"/>
  <c r="K9" i="47"/>
  <c r="K26" i="47" s="1"/>
  <c r="K12" i="47"/>
  <c r="K25" i="47"/>
  <c r="K19" i="47"/>
  <c r="K18" i="47"/>
  <c r="K8" i="47"/>
  <c r="K15" i="47"/>
  <c r="K21" i="47"/>
  <c r="K16" i="47"/>
  <c r="K11" i="47"/>
  <c r="K14" i="47"/>
  <c r="K24" i="47"/>
  <c r="K7" i="47"/>
  <c r="K23" i="47"/>
  <c r="K7" i="46"/>
  <c r="K10" i="46"/>
  <c r="K11" i="46" s="1"/>
  <c r="K9" i="46"/>
  <c r="K28" i="52" l="1"/>
  <c r="K27" i="51"/>
  <c r="K33" i="54"/>
  <c r="K27" i="53"/>
  <c r="K27" i="50"/>
  <c r="K32" i="49"/>
  <c r="K32" i="48"/>
  <c r="G11" i="65"/>
  <c r="D22" i="65"/>
  <c r="B5" i="9" l="1"/>
  <c r="K14" i="8" l="1"/>
  <c r="K12" i="8"/>
  <c r="K23" i="8"/>
  <c r="K15" i="8"/>
  <c r="K11" i="8"/>
  <c r="K17" i="8"/>
  <c r="K9" i="8"/>
  <c r="K30" i="8"/>
  <c r="K18" i="8"/>
  <c r="K7" i="8"/>
  <c r="K20" i="8"/>
  <c r="K21" i="8"/>
  <c r="K8" i="8"/>
  <c r="K31" i="8" l="1"/>
  <c r="C14" i="65"/>
  <c r="C90" i="65" s="1"/>
  <c r="K21" i="55"/>
  <c r="G92" i="65" l="1"/>
  <c r="K8" i="55"/>
  <c r="B14" i="9"/>
  <c r="B24" i="9" s="1"/>
  <c r="F28" i="9" s="1"/>
  <c r="F29" i="9" s="1"/>
  <c r="K23" i="55"/>
  <c r="K12" i="55"/>
  <c r="K11" i="55"/>
  <c r="K15" i="55"/>
  <c r="K19" i="55"/>
  <c r="K16" i="55"/>
  <c r="K7" i="55"/>
  <c r="K17" i="55"/>
  <c r="K22" i="55"/>
  <c r="K14" i="55"/>
  <c r="K20" i="55"/>
  <c r="K9" i="55"/>
  <c r="K24" i="55" l="1"/>
  <c r="C85" i="65"/>
  <c r="D50" i="65"/>
  <c r="D90" i="65" s="1"/>
  <c r="G95" i="65" s="1"/>
  <c r="D22" i="9"/>
  <c r="F24" i="9"/>
  <c r="G96" i="65" l="1"/>
  <c r="D18" i="9"/>
  <c r="D17" i="9"/>
  <c r="D19" i="9"/>
  <c r="D7" i="9"/>
  <c r="D14" i="9"/>
  <c r="D13" i="9"/>
  <c r="D11" i="9"/>
  <c r="D20" i="9"/>
  <c r="D6" i="9"/>
  <c r="D15" i="9"/>
  <c r="D5" i="9"/>
  <c r="D8" i="9"/>
  <c r="D4" i="9"/>
  <c r="D9" i="9"/>
  <c r="D12" i="9"/>
  <c r="D16" i="9"/>
  <c r="D10" i="9"/>
  <c r="D21" i="9"/>
  <c r="E85" i="65"/>
  <c r="D24" i="9" l="1"/>
  <c r="D85" i="65"/>
</calcChain>
</file>

<file path=xl/sharedStrings.xml><?xml version="1.0" encoding="utf-8"?>
<sst xmlns="http://schemas.openxmlformats.org/spreadsheetml/2006/main" count="1533" uniqueCount="168">
  <si>
    <t>m</t>
  </si>
  <si>
    <t>54.01.400</t>
  </si>
  <si>
    <t>54.06.170</t>
  </si>
  <si>
    <t>54.04.350</t>
  </si>
  <si>
    <t>Assentamento de guia (meio fio) em trecho reto, confeccionada em concreto pré-fabricado, dimensões 100x15x13x20 cm (comprimento x base inferior x base superior x altura), para urbanização interna de empreendimentos. AF 06/2016_P</t>
  </si>
  <si>
    <t>Assentamento de guia (meio fio) em trecho curvo, confeccionada em concreto pré-fabricado, dimensões 100x15x13x20 cm (comprimento x base inferior x base superior x altura), para urbanização interna de empreendimentos. AF 06/2016_P</t>
  </si>
  <si>
    <t>Código</t>
  </si>
  <si>
    <t>49.12.120</t>
  </si>
  <si>
    <t>02.10.060</t>
  </si>
  <si>
    <t>m²</t>
  </si>
  <si>
    <t>97.04.010</t>
  </si>
  <si>
    <t>97.05.100</t>
  </si>
  <si>
    <t>un</t>
  </si>
  <si>
    <t>SERVIÇOS PRELIMINARES</t>
  </si>
  <si>
    <t>CANTEIRO DE OBRAS</t>
  </si>
  <si>
    <t>PAVIMENTAÇÃO</t>
  </si>
  <si>
    <t>SINALIZAÇÃO</t>
  </si>
  <si>
    <t>02.01.180</t>
  </si>
  <si>
    <t>02.02.120</t>
  </si>
  <si>
    <t>46.07.070</t>
  </si>
  <si>
    <t>Item</t>
  </si>
  <si>
    <t>Fonte</t>
  </si>
  <si>
    <t>Un.</t>
  </si>
  <si>
    <t>Quantidade</t>
  </si>
  <si>
    <t>Preço total</t>
  </si>
  <si>
    <t>% sobre total</t>
  </si>
  <si>
    <t>CPOS 172</t>
  </si>
  <si>
    <t>Descrição dos Serviços</t>
  </si>
  <si>
    <t>1.1</t>
  </si>
  <si>
    <t>1.2</t>
  </si>
  <si>
    <t>1.3</t>
  </si>
  <si>
    <t>2.1</t>
  </si>
  <si>
    <t>2.2</t>
  </si>
  <si>
    <t>3.1</t>
  </si>
  <si>
    <t>3.2</t>
  </si>
  <si>
    <t>3.3</t>
  </si>
  <si>
    <t>3.4</t>
  </si>
  <si>
    <t>4.1</t>
  </si>
  <si>
    <t>4.2</t>
  </si>
  <si>
    <t>4.3</t>
  </si>
  <si>
    <t xml:space="preserve">Total Item                                                         </t>
  </si>
  <si>
    <t>5.1</t>
  </si>
  <si>
    <t>5.2</t>
  </si>
  <si>
    <t>5.3</t>
  </si>
  <si>
    <t>5.4</t>
  </si>
  <si>
    <t>5.5</t>
  </si>
  <si>
    <t>5.6</t>
  </si>
  <si>
    <t>Localização das frentes de Serviços</t>
  </si>
  <si>
    <t>Totais por frente de serviço</t>
  </si>
  <si>
    <t>Obra:</t>
  </si>
  <si>
    <t>Local:</t>
  </si>
  <si>
    <t>MÊS</t>
  </si>
  <si>
    <t>MÊS 1</t>
  </si>
  <si>
    <t>MÊS 2</t>
  </si>
  <si>
    <t>MÊS 3</t>
  </si>
  <si>
    <t>TOTAL</t>
  </si>
  <si>
    <t>FRENTES DE SERVIÇOS</t>
  </si>
  <si>
    <t>Placa esmaltada para identificação de rua, dimenôes 45 x 25 cm</t>
  </si>
  <si>
    <t>Sinalização horizontal com tinta vinílica ou acrílica - Guias meio fios</t>
  </si>
  <si>
    <t xml:space="preserve">Total Geral </t>
  </si>
  <si>
    <t>Valor total do item 1</t>
  </si>
  <si>
    <t>Valor total do item 3</t>
  </si>
  <si>
    <t>Valor total do item 4</t>
  </si>
  <si>
    <t>Valor total do item 5</t>
  </si>
  <si>
    <t>Refência preços:</t>
  </si>
  <si>
    <t>Preço unitário Sem BDI</t>
  </si>
  <si>
    <t>SIURB</t>
  </si>
  <si>
    <t>Substituição de guia chapéu para boca de lobo</t>
  </si>
  <si>
    <t>CONSERTO DE RAMAIS (Água, Esgoto, GAP., PV's, Chaminé e Tampão)</t>
  </si>
  <si>
    <t>Sinalização horizontal com tinta retrofletiva a base de resina acrilica com microesferas de vidro</t>
  </si>
  <si>
    <t>CRONOGRAMA FÍSICO - FINANCEIRO</t>
  </si>
  <si>
    <t>TOTAL (R$)</t>
  </si>
  <si>
    <t>1.4</t>
  </si>
  <si>
    <t>Valor total do item 2</t>
  </si>
  <si>
    <t>Preço unitário Com BDI %</t>
  </si>
  <si>
    <t>% por Frente de Serviço</t>
  </si>
  <si>
    <t>% dos Totais</t>
  </si>
  <si>
    <t>Assentamento de guia (meio fio) em trecho reto, confeccionada em concreto pré-fabricado, dimensões 100x15x13x20 cm (comprimento x base inferior x base superior x altura), para urbanização interna de empreendimentos. AF 06/2016_P -  Incluso travamento</t>
  </si>
  <si>
    <t>TERRAPLENAGEM</t>
  </si>
  <si>
    <t>Assentamento de guia (meio fio) em trecho reto, confeccionada em concreto pré-fabricado, dimensões 100x15x13x20 cm (comprimento x base inferior x base superior x altura), para urbanização interna de empreendimentos. AF 06/2016_P - Incluso Travamento</t>
  </si>
  <si>
    <t>Assentamento de guia (meio fio) em trecho reto, confeccionada em concreto pré-fabricado, dimensões 100x15x13x20 cm (comprimento x base inferior x base superior x altura), para urbanização interna de empreendimentos. AF 06/2016_P - Incluso travamento</t>
  </si>
  <si>
    <t>Assentamento de guia (meio fio) em trecho reto, confeccionada em concreto pré-fabricado, dimensões 100x15x13x20 cm (comprimento x base inferior x base superior x altura), para urbanização interna de empreendimentos. AF 06/2016_P  - Incluso Travamento</t>
  </si>
  <si>
    <t>Assentamento de guia (meio fio) em trecho reto, confeccionada em concreto pré-fabricado, dimensões 100x15x13x20 cm (comprimento x base inferior x base superior x altura), para urbanização interna de empreendimentos. AF 06/2016_P - Incluso  Travamento</t>
  </si>
  <si>
    <t>Assentamento de guia (meio fio) em trecho reto, confeccionada em concreto pré-fabricado, dimensões 100x15x13x20 cm (comprimento x base inferior x base superior x altura), para urbanização interna de empreendimentos. AF 06/2016_P - ncluso Travamento</t>
  </si>
  <si>
    <t>1.0</t>
  </si>
  <si>
    <t>2.0</t>
  </si>
  <si>
    <t>3.0</t>
  </si>
  <si>
    <t>4.0</t>
  </si>
  <si>
    <t>5.0</t>
  </si>
  <si>
    <t>Refência de preços:</t>
  </si>
  <si>
    <t>Total do Item</t>
  </si>
  <si>
    <t>02.08.020</t>
  </si>
  <si>
    <t>11.03.090</t>
  </si>
  <si>
    <t>11.16.020</t>
  </si>
  <si>
    <t>11.18.040</t>
  </si>
  <si>
    <t>12.01.020</t>
  </si>
  <si>
    <t>30.04.030</t>
  </si>
  <si>
    <t>30.04.070</t>
  </si>
  <si>
    <t>49.06.420</t>
  </si>
  <si>
    <t>73916/2U</t>
  </si>
  <si>
    <t>CPOS</t>
  </si>
  <si>
    <t>SINAPI</t>
  </si>
  <si>
    <t>CPOS 176</t>
  </si>
  <si>
    <t>SINAPI 06/2019</t>
  </si>
  <si>
    <t>SIURB Janeiro 2019</t>
  </si>
  <si>
    <t>73916/2</t>
  </si>
  <si>
    <t xml:space="preserve">CPOS </t>
  </si>
  <si>
    <t>PLACA ESMALTADA PARA IDENTIFICAÇÃO NR DE RUA, DIMENSÕES 45X25CM</t>
  </si>
  <si>
    <t>SNAPI</t>
  </si>
  <si>
    <t>H</t>
  </si>
  <si>
    <t>4.4</t>
  </si>
  <si>
    <t>4.5</t>
  </si>
  <si>
    <t>4.6</t>
  </si>
  <si>
    <t>4.7</t>
  </si>
  <si>
    <t>4.8</t>
  </si>
  <si>
    <t>SINALIZAÇÃO E RAMPA</t>
  </si>
  <si>
    <t>RAMPAS</t>
  </si>
  <si>
    <t>5.7</t>
  </si>
  <si>
    <t>5.8</t>
  </si>
  <si>
    <t>5.9</t>
  </si>
  <si>
    <t>5.10</t>
  </si>
  <si>
    <t>5.11</t>
  </si>
  <si>
    <t>4.9</t>
  </si>
  <si>
    <t>4.10</t>
  </si>
  <si>
    <t>4.11</t>
  </si>
  <si>
    <t>Vigia noturno para o canteiro  com encargos complementares</t>
  </si>
  <si>
    <t>SINALIZAÇÃO, RAMPA  E TRAVAMENTOS</t>
  </si>
  <si>
    <t xml:space="preserve">Total dos Itens </t>
  </si>
  <si>
    <t xml:space="preserve">SINALIZAÇÃO, RAMPA E TRAVAMENTOS </t>
  </si>
  <si>
    <t>Total dos Itens</t>
  </si>
  <si>
    <t>Érica Soler Santos de Oliveira</t>
  </si>
  <si>
    <t>Prefeita Municipal de Potim</t>
  </si>
  <si>
    <t>CNPJ 65.042.855/0001-20</t>
  </si>
  <si>
    <t>Eng. Civil Hiancen Santos</t>
  </si>
  <si>
    <t>Resp. Técnico Projeto / Fiscalização</t>
  </si>
  <si>
    <t>CREA SP 5070462379</t>
  </si>
  <si>
    <t>Eng.ª Civil Circe Ariadna Bouzón</t>
  </si>
  <si>
    <t>Resp. Técnica Projeto / Fiscalização</t>
  </si>
  <si>
    <t xml:space="preserve">CREA SP 5069773037 </t>
  </si>
  <si>
    <t>Quadro Resumo</t>
  </si>
  <si>
    <t>REF.:</t>
  </si>
  <si>
    <t>Diversos: Rua Ceará, Rua Rio de Janeiro, Av. Benedito Sebe, Av. Gumercindo Teberga Alves, Rua João C. dos Santos, Rua Geraldo V. Mendes, Rua Orlando C. Castro, Rua José V. do Carmo, Avenida Juvenal Antunes de Proença, Rua Ivone Rodrigues, Rua José Maria Soares, Rua Sebastião Lucio Rodrigues, Av. Maria Amélia de Castro, Av. Antônio Felipe dos Santos, Avenida Zulmira Proença, Rua Silveiras, Rua Francisco Teodoro dos Santos, Rua Elzira Aparecida Lima Val Verde Chad e Avenida Espirito Santo.</t>
  </si>
  <si>
    <t>Pavimentação e Sinalização Viária</t>
  </si>
  <si>
    <t>m² de Pavimento por Frente de Serviço</t>
  </si>
  <si>
    <t>Planilha Orçamentária - Canteiro Obra</t>
  </si>
  <si>
    <t xml:space="preserve"> Planilha Orçamentária - Rua Ceará</t>
  </si>
  <si>
    <t>Planilha Orçamentária -  Rua Rio de Janeiro</t>
  </si>
  <si>
    <t>Planilha Orçamentária -  Av. Benedito Sebe</t>
  </si>
  <si>
    <t>Planilha Prçamentária - Av. Gumercindo Teberga Alves</t>
  </si>
  <si>
    <t>Planilha Orçamentária - Rua Geraldo V. Mendes</t>
  </si>
  <si>
    <t>Planilha Orçamentária -  Rua João C. Santos</t>
  </si>
  <si>
    <t>Planilha Orçamentária - Rua Orlando C. Castro</t>
  </si>
  <si>
    <t>Planilha Orçamentária - Rua Jose V. do Carmo</t>
  </si>
  <si>
    <t xml:space="preserve"> Planilha Orçamentária - Avenida Juvenal Antunes de Proença</t>
  </si>
  <si>
    <t>Planilha Orçamentária - Rua José Maria Soarez</t>
  </si>
  <si>
    <t>Planilha Orçamentária - Rua Ivone Rodrigues</t>
  </si>
  <si>
    <t>Planilha Orçamentária - Rua Sebastião Lucio Rodrigues</t>
  </si>
  <si>
    <t>Planilha Orçamentária - Avenida Maria Amélia de Castro</t>
  </si>
  <si>
    <t>Planilha Orçamentária - Avenida Antônio Felipe dos Santos Filho</t>
  </si>
  <si>
    <t>Planilha Orçamentária - Avenida Zulmira Proença e Rua Silveiras</t>
  </si>
  <si>
    <t>Planilha Orçamentária - Rua Francisco Teodoro dos Santos</t>
  </si>
  <si>
    <t>Planilha Orçamentária - Rua Elzira Aparecida de Lima Val Verde Chad</t>
  </si>
  <si>
    <t>Planilha Orçamentária - Avenida Espírito Santo</t>
  </si>
  <si>
    <t xml:space="preserve"> </t>
  </si>
  <si>
    <t>Sinalização horizontal com tinta vinílica ou acrílica - Guias</t>
  </si>
  <si>
    <t>Sinalização horizontal com tinta retrofletiva a base de resina acrilica com microesferas de vidro (Faixa de Pedestre)</t>
  </si>
  <si>
    <t>Assentamento de guia (meio fio) em trecho reto, confeccionada em concreto pré-fabricado, dimensões 100x15x13x20 cm (comprimento x base inferior x base superior x altura), para urbanização interna de empreendimentos. AF 06/2016_P - Inclusive travamento</t>
  </si>
  <si>
    <t>Local e data: XXXXXXXXXX, XX de XXXXXXX de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</si>
</sst>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quot;R$&quot;\ #,##0.00"/>
    <numFmt numFmtId="165" formatCode="0.000%"/>
    <numFmt numFmtId="166" formatCode="00\-00\-00"/>
    <numFmt numFmtId="167" formatCode="#,##0.0000"/>
    <numFmt numFmtId="168" formatCode="&quot;R$&quot;\ #,##0.000"/>
  </numFmts>
  <fonts count="43" x14ac:knownFonts="1">
    <font>
      <sz val="11"/>
      <color theme="1"/>
      <name val="Calibri"/>
      <family val="2"/>
      <scheme val="minor"/>
    </font>
    <font>
      <sz val="11"/>
      <color theme="1"/>
      <name val="Calibri"/>
      <family val="2"/>
      <scheme val="minor"/>
    </font>
    <font>
      <sz val="11"/>
      <name val="Calibri"/>
      <family val="2"/>
      <scheme val="minor"/>
    </font>
    <font>
      <sz val="11"/>
      <name val="Arial"/>
      <family val="2"/>
    </font>
    <font>
      <b/>
      <sz val="11"/>
      <name val="Calibri"/>
      <family val="2"/>
      <scheme val="minor"/>
    </font>
    <font>
      <b/>
      <sz val="16"/>
      <color theme="1"/>
      <name val="Calibri"/>
      <family val="2"/>
      <scheme val="minor"/>
    </font>
    <font>
      <b/>
      <sz val="10"/>
      <name val="Calibri"/>
      <family val="2"/>
      <scheme val="minor"/>
    </font>
    <font>
      <b/>
      <sz val="10"/>
      <color indexed="8"/>
      <name val="Calibri"/>
      <family val="2"/>
      <scheme val="minor"/>
    </font>
    <font>
      <sz val="10"/>
      <color theme="1"/>
      <name val="Calibri"/>
      <family val="2"/>
      <scheme val="minor"/>
    </font>
    <font>
      <b/>
      <u/>
      <sz val="10"/>
      <name val="Calibri"/>
      <family val="2"/>
      <scheme val="minor"/>
    </font>
    <font>
      <sz val="10"/>
      <name val="Calibri"/>
      <family val="2"/>
      <scheme val="minor"/>
    </font>
    <font>
      <sz val="10"/>
      <color indexed="17"/>
      <name val="Calibri"/>
      <family val="2"/>
      <scheme val="minor"/>
    </font>
    <font>
      <b/>
      <sz val="10"/>
      <color theme="1"/>
      <name val="Calibri"/>
      <family val="2"/>
      <scheme val="minor"/>
    </font>
    <font>
      <b/>
      <u/>
      <sz val="10"/>
      <color theme="1"/>
      <name val="Calibri"/>
      <family val="2"/>
      <scheme val="minor"/>
    </font>
    <font>
      <sz val="10"/>
      <color indexed="8"/>
      <name val="Arial"/>
      <family val="2"/>
    </font>
    <font>
      <sz val="10"/>
      <color indexed="8"/>
      <name val="Calibri"/>
      <family val="2"/>
      <scheme val="minor"/>
    </font>
    <font>
      <b/>
      <sz val="12"/>
      <name val="Calibri"/>
      <family val="2"/>
      <scheme val="minor"/>
    </font>
    <font>
      <b/>
      <sz val="8"/>
      <name val="Calibri"/>
      <family val="2"/>
      <scheme val="minor"/>
    </font>
    <font>
      <sz val="8"/>
      <name val="Calibri"/>
      <family val="2"/>
      <scheme val="minor"/>
    </font>
    <font>
      <sz val="8"/>
      <color theme="1"/>
      <name val="Calibri"/>
      <family val="2"/>
      <scheme val="minor"/>
    </font>
    <font>
      <b/>
      <sz val="10"/>
      <name val="Arial"/>
      <family val="2"/>
    </font>
    <font>
      <sz val="6"/>
      <color theme="1"/>
      <name val="Calibri"/>
      <family val="2"/>
      <scheme val="minor"/>
    </font>
    <font>
      <sz val="6"/>
      <name val="Calibri"/>
      <family val="2"/>
      <scheme val="minor"/>
    </font>
    <font>
      <b/>
      <sz val="14"/>
      <color theme="1"/>
      <name val="Calibri"/>
      <family val="2"/>
      <scheme val="minor"/>
    </font>
    <font>
      <sz val="12"/>
      <color theme="1"/>
      <name val="Calibri"/>
      <family val="2"/>
      <scheme val="minor"/>
    </font>
    <font>
      <sz val="14"/>
      <color theme="1"/>
      <name val="Calibri"/>
      <family val="2"/>
      <scheme val="minor"/>
    </font>
    <font>
      <sz val="10"/>
      <color theme="0"/>
      <name val="Calibri"/>
      <family val="2"/>
      <scheme val="minor"/>
    </font>
    <font>
      <b/>
      <sz val="12"/>
      <color theme="1"/>
      <name val="Calibri"/>
      <family val="2"/>
      <scheme val="minor"/>
    </font>
    <font>
      <b/>
      <sz val="11"/>
      <name val="Arial"/>
      <family val="2"/>
    </font>
    <font>
      <b/>
      <sz val="11"/>
      <color theme="1"/>
      <name val="Arial"/>
      <family val="2"/>
    </font>
    <font>
      <sz val="7"/>
      <name val="Calibri"/>
      <family val="2"/>
      <scheme val="minor"/>
    </font>
    <font>
      <u/>
      <sz val="11"/>
      <name val="Calibri"/>
      <family val="2"/>
      <scheme val="minor"/>
    </font>
    <font>
      <u/>
      <sz val="11"/>
      <color theme="1"/>
      <name val="Calibri"/>
      <family val="2"/>
      <scheme val="minor"/>
    </font>
    <font>
      <b/>
      <u/>
      <sz val="16"/>
      <name val="Calibri"/>
      <family val="2"/>
      <scheme val="minor"/>
    </font>
    <font>
      <b/>
      <u/>
      <sz val="11"/>
      <name val="Calibri"/>
      <family val="2"/>
      <scheme val="minor"/>
    </font>
    <font>
      <b/>
      <u/>
      <sz val="16"/>
      <color theme="1"/>
      <name val="Calibri"/>
      <family val="2"/>
      <scheme val="minor"/>
    </font>
    <font>
      <b/>
      <u/>
      <sz val="14"/>
      <color theme="1"/>
      <name val="Calibri"/>
      <family val="2"/>
      <scheme val="minor"/>
    </font>
    <font>
      <b/>
      <u/>
      <sz val="26"/>
      <color theme="1"/>
      <name val="Calibri"/>
      <family val="2"/>
      <scheme val="minor"/>
    </font>
    <font>
      <u/>
      <sz val="14"/>
      <color theme="1"/>
      <name val="Calibri"/>
      <family val="2"/>
      <scheme val="minor"/>
    </font>
    <font>
      <b/>
      <sz val="16"/>
      <name val="Calibri"/>
      <family val="2"/>
      <scheme val="minor"/>
    </font>
    <font>
      <sz val="12"/>
      <name val="Calibri"/>
      <family val="2"/>
      <scheme val="minor"/>
    </font>
    <font>
      <sz val="11"/>
      <color indexed="8"/>
      <name val="Calibri"/>
      <family val="2"/>
      <scheme val="minor"/>
    </font>
    <font>
      <sz val="9"/>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2"/>
        <bgColor indexed="64"/>
      </patternFill>
    </fill>
    <fill>
      <patternFill patternType="solid">
        <fgColor indexed="9"/>
      </patternFill>
    </fill>
    <fill>
      <patternFill patternType="solid">
        <fgColor rgb="FFFFFF0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14" fillId="0" borderId="0"/>
    <xf numFmtId="0" fontId="41" fillId="0" borderId="0"/>
    <xf numFmtId="43" fontId="41" fillId="0" borderId="0" applyFont="0" applyFill="0" applyBorder="0" applyAlignment="0" applyProtection="0"/>
  </cellStyleXfs>
  <cellXfs count="541">
    <xf numFmtId="0" fontId="0" fillId="0" borderId="0" xfId="0"/>
    <xf numFmtId="0" fontId="0" fillId="0" borderId="0" xfId="0" applyAlignment="1">
      <alignment horizontal="center"/>
    </xf>
    <xf numFmtId="0" fontId="0" fillId="0" borderId="0" xfId="0" applyAlignment="1">
      <alignment horizontal="left" wrapText="1"/>
    </xf>
    <xf numFmtId="0" fontId="3" fillId="0" borderId="0" xfId="0" applyFont="1" applyFill="1" applyAlignment="1" applyProtection="1">
      <alignment vertical="center" wrapText="1"/>
    </xf>
    <xf numFmtId="0" fontId="0" fillId="0" borderId="0" xfId="0" applyAlignment="1"/>
    <xf numFmtId="0" fontId="0" fillId="0" borderId="0" xfId="0" applyFont="1" applyBorder="1"/>
    <xf numFmtId="0" fontId="2" fillId="0" borderId="0" xfId="0" applyFont="1" applyBorder="1"/>
    <xf numFmtId="164" fontId="0" fillId="0" borderId="0" xfId="0" applyNumberFormat="1"/>
    <xf numFmtId="10" fontId="0" fillId="0" borderId="0" xfId="0" applyNumberFormat="1"/>
    <xf numFmtId="0" fontId="0" fillId="0" borderId="24" xfId="0" applyBorder="1"/>
    <xf numFmtId="0" fontId="0" fillId="0" borderId="24" xfId="0" applyBorder="1" applyAlignment="1">
      <alignment horizontal="center"/>
    </xf>
    <xf numFmtId="0" fontId="0" fillId="0" borderId="24" xfId="0" applyBorder="1" applyAlignment="1">
      <alignment horizontal="left" wrapText="1"/>
    </xf>
    <xf numFmtId="0" fontId="0" fillId="0" borderId="0" xfId="0" applyAlignment="1">
      <alignment wrapText="1"/>
    </xf>
    <xf numFmtId="0" fontId="6" fillId="0" borderId="18" xfId="0" applyFont="1" applyBorder="1" applyAlignment="1" applyProtection="1">
      <alignment horizontal="center" vertical="center"/>
    </xf>
    <xf numFmtId="0" fontId="0" fillId="0" borderId="0" xfId="0" applyFont="1" applyAlignment="1">
      <alignment horizontal="center"/>
    </xf>
    <xf numFmtId="0" fontId="0" fillId="0" borderId="0" xfId="0" applyAlignment="1"/>
    <xf numFmtId="0" fontId="0" fillId="0" borderId="0" xfId="0" applyAlignment="1">
      <alignment horizontal="center"/>
    </xf>
    <xf numFmtId="0" fontId="7" fillId="0" borderId="4" xfId="0" applyFont="1" applyBorder="1" applyAlignment="1" applyProtection="1">
      <alignment horizontal="center" vertical="center" wrapText="1"/>
    </xf>
    <xf numFmtId="4" fontId="6" fillId="0" borderId="4" xfId="0" applyNumberFormat="1" applyFont="1" applyBorder="1" applyAlignment="1" applyProtection="1">
      <alignment horizontal="center" vertical="center" wrapText="1"/>
    </xf>
    <xf numFmtId="165" fontId="6" fillId="0" borderId="19" xfId="2" applyNumberFormat="1" applyFont="1" applyBorder="1" applyAlignment="1" applyProtection="1">
      <alignment horizontal="center" vertical="center" wrapText="1"/>
    </xf>
    <xf numFmtId="0" fontId="10" fillId="0" borderId="1" xfId="0" applyFont="1" applyFill="1" applyBorder="1" applyAlignment="1" applyProtection="1">
      <alignment horizontal="justify" wrapText="1"/>
    </xf>
    <xf numFmtId="0" fontId="8" fillId="0" borderId="1" xfId="0" applyFont="1" applyBorder="1" applyAlignment="1">
      <alignment horizontal="left" wrapText="1"/>
    </xf>
    <xf numFmtId="0" fontId="8" fillId="0" borderId="1" xfId="0" applyFont="1" applyBorder="1" applyAlignment="1">
      <alignment horizontal="center"/>
    </xf>
    <xf numFmtId="4" fontId="8" fillId="0" borderId="1" xfId="0" applyNumberFormat="1" applyFont="1" applyBorder="1" applyAlignment="1"/>
    <xf numFmtId="0" fontId="8" fillId="0" borderId="1" xfId="0" applyFont="1" applyFill="1" applyBorder="1" applyAlignment="1">
      <alignment horizontal="center"/>
    </xf>
    <xf numFmtId="0" fontId="9" fillId="3" borderId="4" xfId="0" applyFont="1" applyFill="1" applyBorder="1" applyAlignment="1">
      <alignment horizontal="justify" vertical="center" wrapText="1"/>
    </xf>
    <xf numFmtId="0" fontId="8" fillId="0" borderId="4" xfId="0" applyFont="1" applyBorder="1" applyAlignment="1">
      <alignment horizontal="center"/>
    </xf>
    <xf numFmtId="0" fontId="8" fillId="0" borderId="21" xfId="0" applyFont="1" applyBorder="1" applyAlignment="1">
      <alignment horizontal="center"/>
    </xf>
    <xf numFmtId="4" fontId="10" fillId="0" borderId="1" xfId="0" applyNumberFormat="1" applyFont="1" applyFill="1" applyBorder="1" applyAlignment="1" applyProtection="1">
      <alignment wrapText="1"/>
    </xf>
    <xf numFmtId="0" fontId="8" fillId="0" borderId="2" xfId="0" applyFont="1" applyBorder="1" applyAlignment="1">
      <alignment horizontal="left" wrapText="1"/>
    </xf>
    <xf numFmtId="0" fontId="8" fillId="0" borderId="2" xfId="0" applyFont="1" applyBorder="1" applyAlignment="1">
      <alignment horizontal="center"/>
    </xf>
    <xf numFmtId="0" fontId="13" fillId="0" borderId="4" xfId="0" applyFont="1" applyBorder="1" applyAlignment="1">
      <alignment horizontal="left" wrapText="1"/>
    </xf>
    <xf numFmtId="0" fontId="8" fillId="0" borderId="1" xfId="0" quotePrefix="1" applyFont="1" applyBorder="1" applyAlignment="1">
      <alignment horizontal="center"/>
    </xf>
    <xf numFmtId="0" fontId="8" fillId="0" borderId="1" xfId="0" applyFont="1" applyFill="1" applyBorder="1" applyAlignment="1">
      <alignment horizontal="left" wrapText="1"/>
    </xf>
    <xf numFmtId="0" fontId="12" fillId="0" borderId="21" xfId="0" applyFont="1" applyBorder="1" applyAlignment="1">
      <alignment horizontal="center"/>
    </xf>
    <xf numFmtId="0" fontId="8" fillId="0" borderId="4" xfId="0" quotePrefix="1" applyFont="1" applyBorder="1" applyAlignment="1">
      <alignment horizontal="center"/>
    </xf>
    <xf numFmtId="0" fontId="8" fillId="0" borderId="18" xfId="0" applyFont="1" applyBorder="1" applyAlignment="1">
      <alignment horizontal="center"/>
    </xf>
    <xf numFmtId="0" fontId="8" fillId="0" borderId="16" xfId="0" applyFont="1" applyBorder="1" applyAlignment="1">
      <alignment wrapText="1"/>
    </xf>
    <xf numFmtId="4" fontId="10" fillId="0" borderId="1" xfId="0" applyNumberFormat="1" applyFont="1" applyFill="1" applyBorder="1" applyAlignment="1" applyProtection="1">
      <alignment horizontal="right" wrapText="1"/>
    </xf>
    <xf numFmtId="0" fontId="12" fillId="0" borderId="4" xfId="0" applyFont="1" applyBorder="1" applyAlignment="1">
      <alignment horizontal="left" wrapText="1"/>
    </xf>
    <xf numFmtId="10" fontId="6" fillId="0" borderId="12" xfId="2" applyNumberFormat="1" applyFont="1" applyFill="1" applyBorder="1" applyAlignment="1" applyProtection="1">
      <alignment horizontal="center" vertical="center"/>
    </xf>
    <xf numFmtId="164" fontId="19" fillId="0" borderId="24" xfId="0" applyNumberFormat="1" applyFont="1" applyBorder="1"/>
    <xf numFmtId="164" fontId="19" fillId="0" borderId="0" xfId="0" applyNumberFormat="1" applyFont="1"/>
    <xf numFmtId="0" fontId="21" fillId="0" borderId="0" xfId="0" applyFont="1"/>
    <xf numFmtId="164" fontId="0" fillId="0" borderId="24" xfId="0" applyNumberFormat="1" applyBorder="1" applyAlignment="1"/>
    <xf numFmtId="164" fontId="10" fillId="0" borderId="1" xfId="0" applyNumberFormat="1" applyFont="1" applyFill="1" applyBorder="1" applyAlignment="1" applyProtection="1">
      <alignment wrapText="1"/>
    </xf>
    <xf numFmtId="164" fontId="6" fillId="0" borderId="13" xfId="0" applyNumberFormat="1" applyFont="1" applyFill="1" applyBorder="1" applyAlignment="1" applyProtection="1">
      <alignment horizontal="center"/>
    </xf>
    <xf numFmtId="164" fontId="8" fillId="0" borderId="1" xfId="0" applyNumberFormat="1" applyFont="1" applyBorder="1" applyAlignment="1"/>
    <xf numFmtId="164" fontId="0" fillId="0" borderId="0" xfId="0" applyNumberFormat="1" applyAlignment="1"/>
    <xf numFmtId="164" fontId="19" fillId="0" borderId="1" xfId="0" applyNumberFormat="1" applyFont="1" applyBorder="1" applyAlignment="1">
      <alignment horizontal="center" wrapText="1"/>
    </xf>
    <xf numFmtId="164" fontId="17" fillId="0" borderId="13" xfId="0" applyNumberFormat="1" applyFont="1" applyFill="1" applyBorder="1" applyAlignment="1" applyProtection="1">
      <alignment horizontal="center"/>
    </xf>
    <xf numFmtId="0" fontId="0" fillId="0" borderId="0" xfId="0" applyAlignment="1"/>
    <xf numFmtId="0" fontId="0" fillId="0" borderId="0" xfId="0" applyAlignment="1"/>
    <xf numFmtId="0" fontId="22" fillId="4" borderId="2" xfId="0" applyFont="1" applyFill="1" applyBorder="1" applyAlignment="1"/>
    <xf numFmtId="10" fontId="22" fillId="4" borderId="3" xfId="0" applyNumberFormat="1" applyFont="1" applyFill="1" applyBorder="1" applyAlignment="1">
      <alignment horizontal="center"/>
    </xf>
    <xf numFmtId="164" fontId="22" fillId="4" borderId="3" xfId="0" applyNumberFormat="1" applyFont="1" applyFill="1" applyBorder="1" applyAlignment="1">
      <alignment horizontal="center" vertical="center"/>
    </xf>
    <xf numFmtId="0" fontId="22" fillId="4" borderId="4" xfId="0" applyFont="1" applyFill="1" applyBorder="1" applyAlignment="1">
      <alignment horizontal="center" vertical="center"/>
    </xf>
    <xf numFmtId="0" fontId="8" fillId="0" borderId="1" xfId="0" applyFont="1" applyBorder="1" applyAlignment="1">
      <alignment horizontal="center" wrapText="1"/>
    </xf>
    <xf numFmtId="4" fontId="6" fillId="0" borderId="10" xfId="0" applyNumberFormat="1" applyFont="1" applyFill="1" applyBorder="1" applyAlignment="1" applyProtection="1">
      <alignment horizontal="center"/>
    </xf>
    <xf numFmtId="0" fontId="0" fillId="0" borderId="0" xfId="0" applyAlignment="1"/>
    <xf numFmtId="10" fontId="24" fillId="4" borderId="12" xfId="0" applyNumberFormat="1" applyFont="1" applyFill="1" applyBorder="1"/>
    <xf numFmtId="164" fontId="25" fillId="4" borderId="9" xfId="0" applyNumberFormat="1" applyFont="1" applyFill="1" applyBorder="1"/>
    <xf numFmtId="164" fontId="25" fillId="4" borderId="30" xfId="0" applyNumberFormat="1" applyFont="1" applyFill="1" applyBorder="1"/>
    <xf numFmtId="0" fontId="23" fillId="4" borderId="22" xfId="0" applyFont="1" applyFill="1" applyBorder="1" applyAlignment="1">
      <alignment horizontal="center"/>
    </xf>
    <xf numFmtId="164" fontId="24" fillId="0" borderId="0" xfId="0" applyNumberFormat="1" applyFont="1"/>
    <xf numFmtId="0" fontId="8" fillId="0" borderId="16" xfId="0" applyFont="1" applyBorder="1" applyAlignment="1"/>
    <xf numFmtId="0" fontId="8" fillId="0" borderId="17" xfId="0" applyFont="1" applyBorder="1" applyAlignment="1"/>
    <xf numFmtId="0" fontId="7" fillId="0" borderId="1" xfId="0" applyFont="1" applyBorder="1" applyAlignment="1" applyProtection="1">
      <alignment horizontal="center" vertical="center" wrapText="1"/>
    </xf>
    <xf numFmtId="0" fontId="8" fillId="0" borderId="1" xfId="0" applyFont="1" applyBorder="1" applyAlignment="1">
      <alignment horizontal="center" vertical="center" wrapText="1"/>
    </xf>
    <xf numFmtId="164" fontId="17" fillId="0" borderId="1" xfId="1" applyNumberFormat="1" applyFont="1" applyBorder="1" applyAlignment="1" applyProtection="1">
      <alignment horizontal="center" vertical="center" wrapText="1"/>
    </xf>
    <xf numFmtId="0" fontId="10" fillId="0" borderId="1" xfId="0" applyFont="1" applyFill="1" applyBorder="1" applyAlignment="1" applyProtection="1">
      <alignment wrapText="1"/>
    </xf>
    <xf numFmtId="10" fontId="10" fillId="0" borderId="19" xfId="0" applyNumberFormat="1" applyFont="1" applyFill="1" applyBorder="1" applyAlignment="1" applyProtection="1">
      <alignment horizontal="center" wrapText="1"/>
    </xf>
    <xf numFmtId="0" fontId="10" fillId="0" borderId="18" xfId="0" applyFont="1" applyFill="1" applyBorder="1" applyAlignment="1" applyProtection="1">
      <alignment horizontal="center" wrapText="1"/>
    </xf>
    <xf numFmtId="0" fontId="10" fillId="0" borderId="1" xfId="0" applyFont="1" applyFill="1" applyBorder="1" applyAlignment="1" applyProtection="1"/>
    <xf numFmtId="4" fontId="11" fillId="0" borderId="9" xfId="0" applyNumberFormat="1" applyFont="1" applyFill="1" applyBorder="1" applyAlignment="1" applyProtection="1">
      <alignment horizontal="center"/>
    </xf>
    <xf numFmtId="164" fontId="12" fillId="0" borderId="12" xfId="0" applyNumberFormat="1" applyFont="1" applyBorder="1" applyAlignment="1"/>
    <xf numFmtId="10" fontId="6" fillId="0" borderId="12" xfId="0" applyNumberFormat="1" applyFont="1" applyFill="1" applyBorder="1" applyAlignment="1" applyProtection="1">
      <alignment horizontal="center" wrapText="1"/>
    </xf>
    <xf numFmtId="164" fontId="6" fillId="0" borderId="9" xfId="0" applyNumberFormat="1" applyFont="1" applyFill="1" applyBorder="1" applyAlignment="1" applyProtection="1"/>
    <xf numFmtId="10" fontId="6" fillId="0" borderId="12" xfId="2" applyNumberFormat="1" applyFont="1" applyFill="1" applyBorder="1" applyAlignment="1" applyProtection="1">
      <alignment horizontal="center"/>
    </xf>
    <xf numFmtId="0" fontId="6" fillId="0" borderId="18" xfId="0" applyFont="1" applyBorder="1" applyAlignment="1" applyProtection="1">
      <alignment horizontal="center"/>
    </xf>
    <xf numFmtId="0" fontId="7" fillId="0" borderId="1" xfId="0" applyFont="1" applyBorder="1" applyAlignment="1" applyProtection="1">
      <alignment horizontal="center" wrapText="1"/>
    </xf>
    <xf numFmtId="0" fontId="7" fillId="0" borderId="4" xfId="0" applyFont="1" applyBorder="1" applyAlignment="1" applyProtection="1">
      <alignment horizontal="center" wrapText="1"/>
    </xf>
    <xf numFmtId="0" fontId="9" fillId="0" borderId="4" xfId="0" applyFont="1" applyBorder="1" applyAlignment="1" applyProtection="1">
      <alignment horizontal="left" wrapText="1"/>
    </xf>
    <xf numFmtId="4" fontId="6" fillId="0" borderId="4" xfId="0" applyNumberFormat="1" applyFont="1" applyBorder="1" applyAlignment="1" applyProtection="1">
      <alignment horizontal="center" wrapText="1"/>
    </xf>
    <xf numFmtId="164" fontId="17" fillId="0" borderId="1" xfId="1" applyNumberFormat="1" applyFont="1" applyBorder="1" applyAlignment="1" applyProtection="1">
      <alignment horizontal="center" wrapText="1"/>
    </xf>
    <xf numFmtId="165" fontId="6" fillId="0" borderId="19" xfId="2" applyNumberFormat="1" applyFont="1" applyBorder="1" applyAlignment="1" applyProtection="1">
      <alignment horizontal="center" wrapText="1"/>
    </xf>
    <xf numFmtId="0" fontId="8" fillId="0" borderId="4" xfId="0" applyFont="1" applyBorder="1" applyAlignment="1"/>
    <xf numFmtId="10" fontId="10" fillId="0" borderId="6" xfId="0" applyNumberFormat="1" applyFont="1" applyFill="1" applyBorder="1" applyAlignment="1" applyProtection="1">
      <alignment horizontal="center" wrapText="1"/>
    </xf>
    <xf numFmtId="0" fontId="6" fillId="0" borderId="21" xfId="0" applyFont="1" applyFill="1" applyBorder="1" applyAlignment="1" applyProtection="1">
      <alignment horizontal="center" wrapText="1"/>
    </xf>
    <xf numFmtId="0" fontId="10" fillId="0" borderId="4" xfId="0" applyFont="1" applyFill="1" applyBorder="1" applyAlignment="1" applyProtection="1">
      <alignment wrapText="1"/>
    </xf>
    <xf numFmtId="0" fontId="10" fillId="0" borderId="2" xfId="0" applyFont="1" applyFill="1" applyBorder="1" applyAlignment="1">
      <alignment horizontal="center" wrapText="1"/>
    </xf>
    <xf numFmtId="0" fontId="6" fillId="3" borderId="4" xfId="0" applyFont="1" applyFill="1" applyBorder="1" applyAlignment="1">
      <alignment horizontal="justify" wrapText="1"/>
    </xf>
    <xf numFmtId="0" fontId="10" fillId="0" borderId="9" xfId="0" applyFont="1" applyFill="1" applyBorder="1" applyAlignment="1" applyProtection="1">
      <alignment horizontal="center" wrapText="1"/>
    </xf>
    <xf numFmtId="164" fontId="17" fillId="0" borderId="9" xfId="0" applyNumberFormat="1" applyFont="1" applyFill="1" applyBorder="1" applyAlignment="1" applyProtection="1"/>
    <xf numFmtId="0" fontId="0" fillId="0" borderId="0" xfId="0" applyAlignment="1"/>
    <xf numFmtId="165" fontId="6" fillId="0" borderId="32" xfId="2" applyNumberFormat="1" applyFont="1" applyBorder="1" applyAlignment="1" applyProtection="1">
      <alignment horizontal="center" vertical="center" wrapText="1"/>
    </xf>
    <xf numFmtId="165" fontId="6" fillId="0" borderId="6" xfId="2" applyNumberFormat="1" applyFont="1" applyBorder="1" applyAlignment="1" applyProtection="1">
      <alignment horizontal="center" vertical="center" wrapText="1"/>
    </xf>
    <xf numFmtId="0" fontId="6" fillId="0" borderId="4" xfId="0" applyFont="1" applyBorder="1" applyAlignment="1" applyProtection="1">
      <alignment horizontal="center" vertical="center" wrapText="1"/>
    </xf>
    <xf numFmtId="4" fontId="6" fillId="0" borderId="35" xfId="0" applyNumberFormat="1" applyFont="1" applyBorder="1" applyAlignment="1" applyProtection="1">
      <alignment horizontal="center" vertical="center" wrapText="1"/>
    </xf>
    <xf numFmtId="167" fontId="26" fillId="0" borderId="4" xfId="0" applyNumberFormat="1" applyFont="1" applyBorder="1" applyAlignment="1">
      <alignment horizontal="center" vertical="center" wrapText="1"/>
    </xf>
    <xf numFmtId="0" fontId="6" fillId="0" borderId="34" xfId="0" applyFont="1" applyBorder="1" applyAlignment="1" applyProtection="1">
      <alignment horizontal="center" vertical="center"/>
    </xf>
    <xf numFmtId="0" fontId="7" fillId="0" borderId="3" xfId="0" applyFont="1" applyBorder="1" applyAlignment="1" applyProtection="1">
      <alignment horizontal="center" vertical="center" wrapText="1"/>
    </xf>
    <xf numFmtId="0" fontId="6" fillId="0" borderId="3" xfId="0" applyFont="1" applyBorder="1" applyAlignment="1" applyProtection="1">
      <alignment horizontal="center" vertical="center" wrapText="1"/>
    </xf>
    <xf numFmtId="4" fontId="6" fillId="0" borderId="3" xfId="0" applyNumberFormat="1" applyFont="1" applyBorder="1" applyAlignment="1" applyProtection="1">
      <alignment horizontal="center" vertical="center" wrapText="1"/>
    </xf>
    <xf numFmtId="164" fontId="17" fillId="0" borderId="3" xfId="1" applyNumberFormat="1" applyFont="1" applyBorder="1" applyAlignment="1" applyProtection="1">
      <alignment horizontal="center" vertical="center" wrapText="1"/>
    </xf>
    <xf numFmtId="165" fontId="6" fillId="0" borderId="20" xfId="2" applyNumberFormat="1" applyFont="1" applyBorder="1" applyAlignment="1" applyProtection="1">
      <alignment horizontal="center" vertical="center" wrapText="1"/>
    </xf>
    <xf numFmtId="0" fontId="6" fillId="0" borderId="33" xfId="0" applyFont="1" applyBorder="1" applyAlignment="1" applyProtection="1">
      <alignment horizontal="center" vertical="center"/>
    </xf>
    <xf numFmtId="0" fontId="7" fillId="0" borderId="35" xfId="0" applyFont="1" applyBorder="1" applyAlignment="1" applyProtection="1">
      <alignment horizontal="center" vertical="center" wrapText="1"/>
    </xf>
    <xf numFmtId="0" fontId="6" fillId="0" borderId="35" xfId="0" applyFont="1" applyBorder="1" applyAlignment="1" applyProtection="1">
      <alignment horizontal="center" vertical="center" wrapText="1"/>
    </xf>
    <xf numFmtId="164" fontId="17" fillId="0" borderId="35" xfId="1" applyNumberFormat="1" applyFont="1" applyBorder="1" applyAlignment="1" applyProtection="1">
      <alignment horizontal="center" vertical="center" wrapText="1"/>
    </xf>
    <xf numFmtId="0" fontId="6" fillId="0" borderId="21" xfId="0" applyFont="1" applyBorder="1" applyAlignment="1" applyProtection="1">
      <alignment horizontal="center" vertical="center"/>
    </xf>
    <xf numFmtId="164" fontId="17" fillId="0" borderId="4" xfId="1" applyNumberFormat="1" applyFont="1" applyBorder="1" applyAlignment="1" applyProtection="1">
      <alignment horizontal="center" vertical="center" wrapText="1"/>
    </xf>
    <xf numFmtId="164" fontId="6" fillId="0" borderId="35" xfId="0" applyNumberFormat="1" applyFont="1" applyBorder="1" applyAlignment="1" applyProtection="1">
      <alignment horizontal="center" vertical="center" wrapText="1"/>
    </xf>
    <xf numFmtId="164" fontId="6" fillId="0" borderId="3" xfId="0" applyNumberFormat="1" applyFont="1" applyBorder="1" applyAlignment="1" applyProtection="1">
      <alignment horizontal="center" vertical="center" wrapText="1"/>
    </xf>
    <xf numFmtId="164" fontId="6" fillId="0" borderId="4" xfId="0" applyNumberFormat="1" applyFont="1" applyBorder="1" applyAlignment="1" applyProtection="1">
      <alignment horizontal="center" vertical="center" wrapText="1"/>
    </xf>
    <xf numFmtId="0" fontId="12" fillId="0" borderId="0" xfId="0" applyFont="1" applyAlignment="1">
      <alignment horizontal="center" wrapText="1"/>
    </xf>
    <xf numFmtId="2" fontId="6" fillId="0" borderId="3" xfId="0" applyNumberFormat="1" applyFont="1" applyBorder="1" applyAlignment="1" applyProtection="1">
      <alignment horizontal="center" vertical="center" wrapText="1"/>
    </xf>
    <xf numFmtId="0" fontId="0" fillId="0" borderId="24" xfId="0" applyBorder="1" applyAlignment="1"/>
    <xf numFmtId="10" fontId="27" fillId="4" borderId="12" xfId="0" applyNumberFormat="1" applyFont="1" applyFill="1" applyBorder="1"/>
    <xf numFmtId="4" fontId="0" fillId="0" borderId="0" xfId="0" applyNumberFormat="1"/>
    <xf numFmtId="4" fontId="25" fillId="4" borderId="9" xfId="0" applyNumberFormat="1" applyFont="1" applyFill="1" applyBorder="1" applyAlignment="1">
      <alignment horizontal="right"/>
    </xf>
    <xf numFmtId="4" fontId="25" fillId="4" borderId="30" xfId="0" applyNumberFormat="1" applyFont="1" applyFill="1" applyBorder="1" applyAlignment="1">
      <alignment horizontal="right"/>
    </xf>
    <xf numFmtId="0" fontId="0" fillId="0" borderId="24" xfId="0" applyBorder="1" applyAlignment="1">
      <alignment horizontal="right"/>
    </xf>
    <xf numFmtId="164" fontId="0" fillId="0" borderId="0" xfId="0" applyNumberFormat="1" applyAlignment="1">
      <alignment horizontal="right"/>
    </xf>
    <xf numFmtId="0" fontId="9" fillId="0" borderId="4" xfId="0" applyFont="1" applyBorder="1" applyAlignment="1" applyProtection="1">
      <alignment horizontal="center" vertical="center" wrapText="1"/>
    </xf>
    <xf numFmtId="0" fontId="10" fillId="0" borderId="1" xfId="0" applyFont="1" applyFill="1" applyBorder="1" applyAlignment="1" applyProtection="1">
      <alignment horizontal="center" vertical="center" wrapText="1"/>
    </xf>
    <xf numFmtId="0" fontId="8" fillId="0" borderId="1" xfId="0" applyFont="1" applyBorder="1" applyAlignment="1">
      <alignment horizontal="center" vertical="center"/>
    </xf>
    <xf numFmtId="0" fontId="10" fillId="0" borderId="2" xfId="0" applyFont="1" applyFill="1" applyBorder="1" applyAlignment="1" applyProtection="1">
      <alignment horizontal="center" vertical="center"/>
    </xf>
    <xf numFmtId="0" fontId="10" fillId="0" borderId="2" xfId="0" applyFont="1" applyFill="1" applyBorder="1" applyAlignment="1">
      <alignment horizontal="center" vertical="center" wrapText="1"/>
    </xf>
    <xf numFmtId="0" fontId="8" fillId="0" borderId="18" xfId="0" applyFont="1" applyBorder="1" applyAlignment="1">
      <alignment horizontal="center" vertical="center"/>
    </xf>
    <xf numFmtId="4" fontId="10" fillId="0" borderId="1" xfId="0" applyNumberFormat="1" applyFont="1" applyFill="1" applyBorder="1" applyAlignment="1" applyProtection="1">
      <alignment vertical="center" wrapText="1"/>
    </xf>
    <xf numFmtId="164" fontId="10" fillId="0" borderId="1" xfId="0" applyNumberFormat="1" applyFont="1" applyFill="1" applyBorder="1" applyAlignment="1" applyProtection="1">
      <alignment vertical="center" wrapText="1"/>
    </xf>
    <xf numFmtId="10" fontId="10" fillId="0" borderId="19" xfId="0" applyNumberFormat="1" applyFont="1" applyFill="1" applyBorder="1" applyAlignment="1" applyProtection="1">
      <alignment horizontal="center" vertical="center" wrapText="1"/>
    </xf>
    <xf numFmtId="0" fontId="10" fillId="0" borderId="1" xfId="0" applyFont="1" applyFill="1" applyBorder="1" applyAlignment="1" applyProtection="1">
      <alignment vertical="center" wrapText="1"/>
    </xf>
    <xf numFmtId="0" fontId="8" fillId="0" borderId="2" xfId="0" applyFont="1" applyBorder="1" applyAlignment="1">
      <alignment horizontal="center" vertical="center"/>
    </xf>
    <xf numFmtId="0" fontId="10" fillId="0" borderId="1" xfId="0" applyFont="1" applyFill="1" applyBorder="1" applyAlignment="1" applyProtection="1">
      <alignment horizontal="center" vertical="center"/>
    </xf>
    <xf numFmtId="0" fontId="10" fillId="0" borderId="2" xfId="0" applyFont="1" applyFill="1" applyBorder="1" applyAlignment="1" applyProtection="1">
      <alignment horizontal="center" vertical="center" wrapText="1"/>
    </xf>
    <xf numFmtId="4" fontId="8" fillId="0" borderId="1" xfId="0" applyNumberFormat="1" applyFont="1" applyBorder="1" applyAlignment="1">
      <alignment horizontal="center" vertical="center"/>
    </xf>
    <xf numFmtId="4" fontId="10" fillId="0" borderId="1" xfId="0" applyNumberFormat="1" applyFont="1" applyFill="1" applyBorder="1" applyAlignment="1" applyProtection="1">
      <alignment horizontal="center" vertical="center" wrapText="1"/>
    </xf>
    <xf numFmtId="164" fontId="10" fillId="0" borderId="1" xfId="0" applyNumberFormat="1" applyFont="1" applyFill="1" applyBorder="1" applyAlignment="1" applyProtection="1">
      <alignment horizontal="center" vertical="center" wrapText="1"/>
    </xf>
    <xf numFmtId="164" fontId="8" fillId="0" borderId="1" xfId="0" applyNumberFormat="1" applyFont="1" applyBorder="1" applyAlignment="1">
      <alignment horizontal="center" vertical="center"/>
    </xf>
    <xf numFmtId="0" fontId="8" fillId="0" borderId="1" xfId="0" applyFont="1" applyFill="1" applyBorder="1" applyAlignment="1">
      <alignment horizontal="center" vertical="center"/>
    </xf>
    <xf numFmtId="4" fontId="8" fillId="0" borderId="1" xfId="0" applyNumberFormat="1" applyFont="1" applyBorder="1" applyAlignment="1">
      <alignment horizontal="center"/>
    </xf>
    <xf numFmtId="0" fontId="6" fillId="0" borderId="21" xfId="0" applyFont="1" applyFill="1" applyBorder="1" applyAlignment="1" applyProtection="1">
      <alignment horizontal="center" vertical="center" wrapText="1"/>
    </xf>
    <xf numFmtId="0" fontId="8" fillId="0" borderId="4" xfId="0" applyFont="1" applyBorder="1" applyAlignment="1">
      <alignment horizontal="center" vertical="center"/>
    </xf>
    <xf numFmtId="0" fontId="10" fillId="0" borderId="18"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10" fontId="10" fillId="0" borderId="6" xfId="0" applyNumberFormat="1" applyFont="1" applyFill="1" applyBorder="1" applyAlignment="1" applyProtection="1">
      <alignment horizontal="center" vertical="center" wrapText="1"/>
    </xf>
    <xf numFmtId="4" fontId="10" fillId="0" borderId="1" xfId="0" applyNumberFormat="1" applyFont="1" applyFill="1" applyBorder="1" applyAlignment="1">
      <alignment horizontal="center" vertical="center"/>
    </xf>
    <xf numFmtId="10" fontId="10" fillId="0" borderId="5" xfId="0" applyNumberFormat="1" applyFont="1" applyFill="1" applyBorder="1" applyAlignment="1" applyProtection="1">
      <alignment horizontal="center" vertical="center" wrapText="1"/>
    </xf>
    <xf numFmtId="4" fontId="10" fillId="0" borderId="1" xfId="1" applyNumberFormat="1" applyFont="1" applyFill="1" applyBorder="1" applyAlignment="1">
      <alignment horizontal="center" vertical="center"/>
    </xf>
    <xf numFmtId="164" fontId="19" fillId="0" borderId="1" xfId="0" applyNumberFormat="1" applyFont="1" applyBorder="1" applyAlignment="1">
      <alignment horizontal="center" vertical="center"/>
    </xf>
    <xf numFmtId="4" fontId="10" fillId="2" borderId="1" xfId="0" applyNumberFormat="1" applyFont="1" applyFill="1" applyBorder="1" applyAlignment="1" applyProtection="1">
      <alignment horizontal="center" vertical="center" wrapText="1"/>
    </xf>
    <xf numFmtId="0" fontId="10" fillId="3" borderId="1"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24" fillId="0" borderId="0" xfId="0" applyFont="1"/>
    <xf numFmtId="0" fontId="10" fillId="0" borderId="1" xfId="0" applyFont="1" applyFill="1" applyBorder="1" applyAlignment="1" applyProtection="1">
      <alignment horizontal="justify" vertical="center" wrapText="1"/>
    </xf>
    <xf numFmtId="10" fontId="0" fillId="0" borderId="24" xfId="0" applyNumberFormat="1" applyBorder="1" applyAlignment="1">
      <alignment horizontal="center"/>
    </xf>
    <xf numFmtId="0" fontId="0" fillId="0" borderId="0" xfId="0" applyAlignment="1">
      <alignment vertical="center"/>
    </xf>
    <xf numFmtId="164" fontId="0" fillId="0" borderId="0" xfId="0" applyNumberFormat="1" applyAlignment="1">
      <alignment vertical="center"/>
    </xf>
    <xf numFmtId="0" fontId="29" fillId="0" borderId="0" xfId="0" applyFont="1" applyAlignment="1">
      <alignment vertical="center"/>
    </xf>
    <xf numFmtId="10" fontId="28" fillId="0" borderId="12" xfId="2" applyNumberFormat="1" applyFont="1" applyFill="1" applyBorder="1" applyAlignment="1" applyProtection="1">
      <alignment horizontal="center" vertical="center"/>
    </xf>
    <xf numFmtId="164" fontId="16" fillId="0" borderId="9" xfId="0" applyNumberFormat="1" applyFont="1" applyFill="1" applyBorder="1" applyAlignment="1" applyProtection="1"/>
    <xf numFmtId="10" fontId="16" fillId="0" borderId="12" xfId="2" applyNumberFormat="1" applyFont="1" applyFill="1" applyBorder="1" applyAlignment="1" applyProtection="1">
      <alignment horizontal="center"/>
    </xf>
    <xf numFmtId="0" fontId="2" fillId="0" borderId="0" xfId="0" applyFont="1" applyBorder="1" applyAlignment="1">
      <alignment vertical="center"/>
    </xf>
    <xf numFmtId="0" fontId="30" fillId="4" borderId="2" xfId="0" applyFont="1" applyFill="1" applyBorder="1" applyAlignment="1"/>
    <xf numFmtId="10" fontId="30" fillId="4" borderId="3" xfId="0" applyNumberFormat="1" applyFont="1" applyFill="1" applyBorder="1" applyAlignment="1">
      <alignment horizontal="center"/>
    </xf>
    <xf numFmtId="164" fontId="30" fillId="4" borderId="3" xfId="0" applyNumberFormat="1" applyFont="1" applyFill="1" applyBorder="1" applyAlignment="1">
      <alignment horizontal="center" vertical="center"/>
    </xf>
    <xf numFmtId="0" fontId="30" fillId="4" borderId="4" xfId="0" applyFont="1" applyFill="1" applyBorder="1" applyAlignment="1">
      <alignment horizontal="center" vertical="center"/>
    </xf>
    <xf numFmtId="0" fontId="34" fillId="0" borderId="12" xfId="0" applyFont="1" applyBorder="1" applyAlignment="1">
      <alignment vertical="center"/>
    </xf>
    <xf numFmtId="0" fontId="35" fillId="0" borderId="9" xfId="0" applyFont="1" applyBorder="1" applyAlignment="1">
      <alignment horizontal="center" vertical="center"/>
    </xf>
    <xf numFmtId="164" fontId="35" fillId="0" borderId="15" xfId="0" applyNumberFormat="1" applyFont="1" applyBorder="1" applyAlignment="1">
      <alignment horizontal="center" vertical="center" wrapText="1"/>
    </xf>
    <xf numFmtId="164" fontId="35" fillId="0" borderId="12" xfId="0" applyNumberFormat="1" applyFont="1" applyBorder="1" applyAlignment="1">
      <alignment horizontal="center" wrapText="1"/>
    </xf>
    <xf numFmtId="164" fontId="36" fillId="0" borderId="12" xfId="0" applyNumberFormat="1" applyFont="1" applyBorder="1" applyAlignment="1">
      <alignment horizontal="center" wrapText="1"/>
    </xf>
    <xf numFmtId="0" fontId="32" fillId="0" borderId="0" xfId="0" applyFont="1"/>
    <xf numFmtId="0" fontId="38" fillId="4" borderId="9" xfId="0" applyFont="1" applyFill="1" applyBorder="1" applyAlignment="1">
      <alignment horizontal="left" wrapText="1"/>
    </xf>
    <xf numFmtId="0" fontId="2" fillId="4" borderId="23" xfId="0" applyFont="1" applyFill="1" applyBorder="1" applyAlignment="1">
      <alignment horizontal="center" vertical="center"/>
    </xf>
    <xf numFmtId="0" fontId="2" fillId="4" borderId="0" xfId="0" applyFont="1" applyFill="1" applyBorder="1" applyAlignment="1">
      <alignment horizontal="center" vertical="center"/>
    </xf>
    <xf numFmtId="4" fontId="22" fillId="4" borderId="0" xfId="0" applyNumberFormat="1" applyFont="1" applyFill="1" applyBorder="1" applyAlignment="1">
      <alignment horizontal="center" vertical="center"/>
    </xf>
    <xf numFmtId="4" fontId="22" fillId="4" borderId="26" xfId="0" applyNumberFormat="1" applyFont="1" applyFill="1" applyBorder="1" applyAlignment="1">
      <alignment horizontal="center" vertical="center"/>
    </xf>
    <xf numFmtId="0" fontId="6" fillId="0" borderId="4" xfId="0" applyFont="1" applyBorder="1" applyAlignment="1" applyProtection="1">
      <alignment horizontal="center" vertical="center" wrapText="1"/>
    </xf>
    <xf numFmtId="4" fontId="6" fillId="0" borderId="4" xfId="0" applyNumberFormat="1" applyFont="1" applyBorder="1" applyAlignment="1" applyProtection="1">
      <alignment horizontal="center" vertical="center" wrapText="1"/>
    </xf>
    <xf numFmtId="0" fontId="2" fillId="0" borderId="0" xfId="0" applyFont="1" applyBorder="1" applyAlignment="1">
      <alignment horizontal="center"/>
    </xf>
    <xf numFmtId="0" fontId="2" fillId="0" borderId="0" xfId="0" applyFont="1" applyBorder="1" applyAlignment="1">
      <alignment horizontal="center" vertical="center"/>
    </xf>
    <xf numFmtId="4" fontId="3" fillId="0" borderId="0" xfId="0" applyNumberFormat="1" applyFont="1" applyFill="1" applyAlignment="1" applyProtection="1">
      <alignment vertical="center" wrapText="1"/>
    </xf>
    <xf numFmtId="168" fontId="19" fillId="0" borderId="0" xfId="0" applyNumberFormat="1" applyFont="1"/>
    <xf numFmtId="4" fontId="2" fillId="0" borderId="0" xfId="0" applyNumberFormat="1" applyFont="1" applyBorder="1"/>
    <xf numFmtId="4" fontId="29" fillId="0" borderId="0" xfId="0" applyNumberFormat="1" applyFont="1" applyAlignment="1">
      <alignment vertical="center"/>
    </xf>
    <xf numFmtId="164" fontId="6" fillId="0" borderId="9" xfId="0" applyNumberFormat="1" applyFont="1" applyFill="1" applyBorder="1" applyAlignment="1" applyProtection="1">
      <alignment vertical="center"/>
    </xf>
    <xf numFmtId="4" fontId="2" fillId="0" borderId="0" xfId="0" applyNumberFormat="1" applyFont="1" applyBorder="1" applyAlignment="1">
      <alignment horizontal="center" vertical="center"/>
    </xf>
    <xf numFmtId="0" fontId="2" fillId="0" borderId="0" xfId="0" applyFont="1"/>
    <xf numFmtId="4" fontId="2" fillId="0" borderId="0" xfId="0" applyNumberFormat="1" applyFont="1"/>
    <xf numFmtId="0" fontId="6" fillId="0" borderId="0" xfId="0" applyFont="1" applyAlignment="1">
      <alignment horizontal="center" vertical="center" wrapText="1"/>
    </xf>
    <xf numFmtId="0" fontId="2" fillId="0" borderId="0" xfId="0" applyFont="1" applyAlignment="1">
      <alignment horizontal="center" vertical="center"/>
    </xf>
    <xf numFmtId="4" fontId="2" fillId="0" borderId="0" xfId="0" applyNumberFormat="1" applyFont="1" applyAlignment="1">
      <alignment horizontal="center" vertical="center"/>
    </xf>
    <xf numFmtId="167" fontId="10" fillId="0" borderId="4" xfId="0" applyNumberFormat="1" applyFont="1" applyBorder="1" applyAlignment="1">
      <alignment horizontal="center" vertical="center" wrapText="1"/>
    </xf>
    <xf numFmtId="0" fontId="6" fillId="0" borderId="1" xfId="0" applyFont="1" applyBorder="1" applyAlignment="1" applyProtection="1">
      <alignment horizontal="center" vertical="center" wrapText="1"/>
    </xf>
    <xf numFmtId="0" fontId="9" fillId="0" borderId="4" xfId="0" applyFont="1" applyBorder="1" applyAlignment="1" applyProtection="1">
      <alignment horizontal="left" vertical="center" wrapText="1"/>
    </xf>
    <xf numFmtId="0" fontId="10" fillId="0" borderId="1" xfId="0" applyFont="1" applyBorder="1" applyAlignment="1">
      <alignment horizontal="center" vertical="center" wrapText="1"/>
    </xf>
    <xf numFmtId="164" fontId="18" fillId="0" borderId="1" xfId="0" applyNumberFormat="1" applyFont="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horizontal="left" vertical="center" wrapText="1"/>
    </xf>
    <xf numFmtId="4" fontId="10" fillId="0" borderId="1" xfId="0" applyNumberFormat="1" applyFont="1" applyBorder="1" applyAlignment="1">
      <alignment horizontal="center" vertical="center"/>
    </xf>
    <xf numFmtId="164" fontId="18" fillId="0" borderId="1" xfId="0" applyNumberFormat="1" applyFont="1" applyFill="1" applyBorder="1" applyAlignment="1" applyProtection="1">
      <alignment horizontal="center" vertical="center" wrapText="1"/>
    </xf>
    <xf numFmtId="164" fontId="18" fillId="0" borderId="1" xfId="0" applyNumberFormat="1" applyFont="1" applyBorder="1" applyAlignment="1">
      <alignment horizontal="center" vertical="center"/>
    </xf>
    <xf numFmtId="0" fontId="10" fillId="0" borderId="1" xfId="0" applyFont="1" applyFill="1" applyBorder="1" applyAlignment="1">
      <alignment horizontal="center" vertical="center"/>
    </xf>
    <xf numFmtId="4" fontId="10" fillId="0" borderId="9" xfId="0" applyNumberFormat="1" applyFont="1" applyFill="1" applyBorder="1" applyAlignment="1" applyProtection="1">
      <alignment horizontal="center" vertical="center"/>
    </xf>
    <xf numFmtId="4" fontId="6" fillId="0" borderId="10" xfId="0" applyNumberFormat="1" applyFont="1" applyFill="1" applyBorder="1" applyAlignment="1" applyProtection="1">
      <alignment horizontal="center" vertical="center"/>
    </xf>
    <xf numFmtId="164" fontId="17" fillId="0" borderId="13" xfId="0" applyNumberFormat="1" applyFont="1" applyFill="1" applyBorder="1" applyAlignment="1" applyProtection="1">
      <alignment horizontal="center" vertical="center"/>
    </xf>
    <xf numFmtId="164" fontId="17" fillId="0" borderId="12" xfId="0" applyNumberFormat="1" applyFont="1" applyBorder="1" applyAlignment="1">
      <alignment horizontal="center" vertical="center"/>
    </xf>
    <xf numFmtId="10" fontId="6" fillId="0" borderId="12" xfId="0" applyNumberFormat="1" applyFont="1" applyFill="1" applyBorder="1" applyAlignment="1" applyProtection="1">
      <alignment horizontal="center" vertical="center" wrapText="1"/>
    </xf>
    <xf numFmtId="0" fontId="10" fillId="0" borderId="4" xfId="0" applyFont="1" applyBorder="1" applyAlignment="1">
      <alignment horizontal="center" vertical="center"/>
    </xf>
    <xf numFmtId="164" fontId="10" fillId="0" borderId="1" xfId="0" applyNumberFormat="1" applyFont="1" applyBorder="1" applyAlignment="1">
      <alignment horizontal="center" vertical="center"/>
    </xf>
    <xf numFmtId="0" fontId="10" fillId="0" borderId="2" xfId="0" applyFont="1" applyBorder="1" applyAlignment="1">
      <alignment horizontal="center" vertical="center"/>
    </xf>
    <xf numFmtId="0" fontId="10" fillId="0" borderId="2" xfId="0" applyFont="1" applyBorder="1" applyAlignment="1">
      <alignment horizontal="left" vertical="center" wrapText="1"/>
    </xf>
    <xf numFmtId="164" fontId="6" fillId="0" borderId="13" xfId="0" applyNumberFormat="1" applyFont="1" applyFill="1" applyBorder="1" applyAlignment="1" applyProtection="1">
      <alignment horizontal="center" vertical="center"/>
    </xf>
    <xf numFmtId="164" fontId="6" fillId="0" borderId="12" xfId="0" applyNumberFormat="1" applyFont="1" applyBorder="1" applyAlignment="1">
      <alignment horizontal="center" vertical="center"/>
    </xf>
    <xf numFmtId="0" fontId="9" fillId="0" borderId="4" xfId="0" applyFont="1" applyBorder="1" applyAlignment="1">
      <alignment horizontal="left" vertical="center" wrapText="1"/>
    </xf>
    <xf numFmtId="0" fontId="10" fillId="0" borderId="1" xfId="0" quotePrefix="1" applyFont="1" applyBorder="1" applyAlignment="1">
      <alignment horizontal="center" vertical="center"/>
    </xf>
    <xf numFmtId="0" fontId="6" fillId="0" borderId="21" xfId="0" applyFont="1" applyBorder="1" applyAlignment="1">
      <alignment horizontal="center" vertical="center"/>
    </xf>
    <xf numFmtId="0" fontId="6" fillId="3" borderId="4" xfId="0" applyFont="1" applyFill="1" applyBorder="1" applyAlignment="1">
      <alignment horizontal="left" vertical="center" wrapText="1"/>
    </xf>
    <xf numFmtId="0" fontId="10" fillId="0" borderId="4" xfId="0" quotePrefix="1" applyFont="1" applyBorder="1" applyAlignment="1">
      <alignment horizontal="center" vertical="center"/>
    </xf>
    <xf numFmtId="0" fontId="10" fillId="0" borderId="18" xfId="0" applyFont="1" applyBorder="1" applyAlignment="1">
      <alignment horizontal="center" vertical="center"/>
    </xf>
    <xf numFmtId="0" fontId="10" fillId="0" borderId="9" xfId="0" applyFont="1" applyFill="1" applyBorder="1" applyAlignment="1" applyProtection="1">
      <alignment horizontal="center" vertical="center" wrapText="1"/>
    </xf>
    <xf numFmtId="0" fontId="10" fillId="0" borderId="16" xfId="0" applyFont="1" applyBorder="1" applyAlignment="1">
      <alignment horizontal="center" vertical="center"/>
    </xf>
    <xf numFmtId="0" fontId="10" fillId="0" borderId="16" xfId="0" applyFont="1" applyBorder="1" applyAlignment="1">
      <alignment horizontal="center" vertical="center" wrapText="1"/>
    </xf>
    <xf numFmtId="0" fontId="10" fillId="0" borderId="17" xfId="0" applyFont="1" applyBorder="1" applyAlignment="1">
      <alignment horizontal="center" vertical="center"/>
    </xf>
    <xf numFmtId="0" fontId="10" fillId="0" borderId="1" xfId="0" applyFont="1" applyFill="1" applyBorder="1" applyAlignment="1">
      <alignment horizontal="left" vertical="center" wrapText="1"/>
    </xf>
    <xf numFmtId="0" fontId="6" fillId="0" borderId="4" xfId="0" applyFont="1" applyBorder="1" applyAlignment="1">
      <alignment horizontal="left" vertical="center" wrapText="1"/>
    </xf>
    <xf numFmtId="0" fontId="2" fillId="0" borderId="1" xfId="0" applyFont="1" applyBorder="1" applyAlignment="1">
      <alignment horizontal="center" vertical="center"/>
    </xf>
    <xf numFmtId="164" fontId="17" fillId="0" borderId="9" xfId="0" applyNumberFormat="1" applyFont="1" applyFill="1" applyBorder="1" applyAlignment="1" applyProtection="1">
      <alignment horizontal="center" vertical="center"/>
    </xf>
    <xf numFmtId="0" fontId="2" fillId="0" borderId="24" xfId="0" applyFont="1" applyBorder="1" applyAlignment="1">
      <alignment horizontal="center" vertical="center"/>
    </xf>
    <xf numFmtId="0" fontId="2" fillId="0" borderId="24" xfId="0" applyFont="1" applyBorder="1" applyAlignment="1">
      <alignment horizontal="center" vertical="center" wrapText="1"/>
    </xf>
    <xf numFmtId="164" fontId="2" fillId="0" borderId="24" xfId="0" applyNumberFormat="1" applyFont="1" applyBorder="1" applyAlignment="1">
      <alignment horizontal="center" vertical="center"/>
    </xf>
    <xf numFmtId="164" fontId="18" fillId="0" borderId="24" xfId="0" applyNumberFormat="1" applyFont="1" applyBorder="1" applyAlignment="1">
      <alignment horizontal="center" vertical="center"/>
    </xf>
    <xf numFmtId="10" fontId="2" fillId="0" borderId="24" xfId="0" applyNumberFormat="1" applyFont="1" applyBorder="1" applyAlignment="1">
      <alignment horizontal="center" vertical="center"/>
    </xf>
    <xf numFmtId="0" fontId="2" fillId="0" borderId="0" xfId="0" applyFont="1" applyBorder="1" applyAlignment="1">
      <alignment horizontal="center" vertical="center" wrapText="1"/>
    </xf>
    <xf numFmtId="164" fontId="2" fillId="0" borderId="0" xfId="0" applyNumberFormat="1" applyFont="1" applyBorder="1" applyAlignment="1">
      <alignment horizontal="center" vertical="center"/>
    </xf>
    <xf numFmtId="164" fontId="18" fillId="0" borderId="0" xfId="0" applyNumberFormat="1" applyFont="1" applyBorder="1" applyAlignment="1">
      <alignment horizontal="center" vertical="center"/>
    </xf>
    <xf numFmtId="10" fontId="2" fillId="0" borderId="0" xfId="0" applyNumberFormat="1" applyFont="1" applyBorder="1" applyAlignment="1">
      <alignment horizontal="center" vertical="center"/>
    </xf>
    <xf numFmtId="0" fontId="2" fillId="0" borderId="0" xfId="0" applyFont="1" applyBorder="1" applyAlignment="1"/>
    <xf numFmtId="10" fontId="2" fillId="0" borderId="0" xfId="0" applyNumberFormat="1" applyFont="1" applyBorder="1" applyAlignment="1">
      <alignment horizontal="center"/>
    </xf>
    <xf numFmtId="0" fontId="2" fillId="0" borderId="0" xfId="0" applyFont="1" applyBorder="1" applyAlignment="1">
      <alignment horizontal="left" wrapText="1"/>
    </xf>
    <xf numFmtId="164" fontId="2" fillId="0" borderId="0" xfId="0" applyNumberFormat="1" applyFont="1" applyBorder="1" applyAlignment="1"/>
    <xf numFmtId="164" fontId="18" fillId="0" borderId="0" xfId="0" applyNumberFormat="1" applyFont="1" applyBorder="1"/>
    <xf numFmtId="10" fontId="2" fillId="0" borderId="0" xfId="0" applyNumberFormat="1" applyFont="1" applyBorder="1"/>
    <xf numFmtId="0" fontId="2" fillId="0" borderId="0" xfId="0" applyFont="1" applyAlignment="1">
      <alignment horizontal="center"/>
    </xf>
    <xf numFmtId="0" fontId="2" fillId="0" borderId="0" xfId="0" applyFont="1" applyAlignment="1"/>
    <xf numFmtId="0" fontId="2" fillId="0" borderId="0" xfId="0" applyFont="1" applyAlignment="1">
      <alignment horizontal="left" wrapText="1"/>
    </xf>
    <xf numFmtId="164" fontId="2" fillId="0" borderId="0" xfId="0" applyNumberFormat="1" applyFont="1" applyAlignment="1"/>
    <xf numFmtId="164" fontId="18" fillId="0" borderId="0" xfId="0" applyNumberFormat="1" applyFont="1"/>
    <xf numFmtId="10" fontId="2" fillId="0" borderId="0" xfId="0" applyNumberFormat="1" applyFont="1"/>
    <xf numFmtId="164" fontId="16" fillId="0" borderId="9" xfId="0" applyNumberFormat="1" applyFont="1" applyFill="1" applyBorder="1" applyAlignment="1" applyProtection="1">
      <alignment horizontal="center" vertical="center"/>
    </xf>
    <xf numFmtId="10" fontId="16" fillId="0" borderId="12" xfId="2" applyNumberFormat="1" applyFont="1" applyFill="1" applyBorder="1" applyAlignment="1" applyProtection="1">
      <alignment horizontal="center" vertical="center"/>
    </xf>
    <xf numFmtId="0" fontId="40" fillId="0" borderId="0" xfId="0" applyFont="1"/>
    <xf numFmtId="4" fontId="40" fillId="0" borderId="0" xfId="0" applyNumberFormat="1" applyFont="1"/>
    <xf numFmtId="166" fontId="10" fillId="0" borderId="1" xfId="3" applyNumberFormat="1" applyFont="1" applyFill="1" applyBorder="1" applyAlignment="1">
      <alignment horizontal="center" vertical="center" wrapText="1"/>
    </xf>
    <xf numFmtId="0" fontId="10" fillId="0" borderId="1" xfId="3" applyFont="1" applyFill="1" applyBorder="1" applyAlignment="1">
      <alignment horizontal="left" vertical="center" wrapText="1"/>
    </xf>
    <xf numFmtId="4" fontId="10" fillId="0" borderId="1" xfId="3" applyNumberFormat="1" applyFont="1" applyFill="1" applyBorder="1" applyAlignment="1">
      <alignment horizontal="center" vertical="center" wrapText="1"/>
    </xf>
    <xf numFmtId="0" fontId="2" fillId="0" borderId="24" xfId="0" applyFont="1" applyBorder="1" applyAlignment="1">
      <alignment horizontal="center"/>
    </xf>
    <xf numFmtId="0" fontId="2" fillId="0" borderId="24" xfId="0" applyFont="1" applyBorder="1" applyAlignment="1"/>
    <xf numFmtId="0" fontId="2" fillId="0" borderId="24" xfId="0" applyFont="1" applyBorder="1" applyAlignment="1">
      <alignment horizontal="left" wrapText="1"/>
    </xf>
    <xf numFmtId="164" fontId="2" fillId="0" borderId="24" xfId="0" applyNumberFormat="1" applyFont="1" applyBorder="1" applyAlignment="1"/>
    <xf numFmtId="164" fontId="18" fillId="0" borderId="24" xfId="0" applyNumberFormat="1" applyFont="1" applyBorder="1"/>
    <xf numFmtId="10" fontId="2" fillId="0" borderId="24" xfId="0" applyNumberFormat="1" applyFont="1" applyBorder="1" applyAlignment="1">
      <alignment horizontal="center"/>
    </xf>
    <xf numFmtId="0" fontId="6" fillId="0" borderId="0" xfId="0" applyFont="1" applyAlignment="1">
      <alignment horizontal="center" wrapText="1"/>
    </xf>
    <xf numFmtId="0" fontId="6" fillId="0" borderId="1" xfId="0" applyFont="1" applyBorder="1" applyAlignment="1" applyProtection="1">
      <alignment horizontal="center" wrapText="1"/>
    </xf>
    <xf numFmtId="0" fontId="6" fillId="0" borderId="4" xfId="0" applyFont="1" applyBorder="1" applyAlignment="1" applyProtection="1">
      <alignment horizontal="center" wrapText="1"/>
    </xf>
    <xf numFmtId="0" fontId="10" fillId="0" borderId="1" xfId="0" applyFont="1" applyBorder="1" applyAlignment="1">
      <alignment horizontal="center" wrapText="1"/>
    </xf>
    <xf numFmtId="164" fontId="18" fillId="0" borderId="1" xfId="0" applyNumberFormat="1" applyFont="1" applyBorder="1" applyAlignment="1">
      <alignment horizontal="center" wrapText="1"/>
    </xf>
    <xf numFmtId="0" fontId="10" fillId="0" borderId="1" xfId="0" applyFont="1" applyBorder="1" applyAlignment="1">
      <alignment horizontal="center"/>
    </xf>
    <xf numFmtId="0" fontId="10" fillId="0" borderId="1" xfId="0" applyFont="1" applyBorder="1" applyAlignment="1">
      <alignment horizontal="left" wrapText="1"/>
    </xf>
    <xf numFmtId="4" fontId="10" fillId="0" borderId="1" xfId="0" applyNumberFormat="1" applyFont="1" applyBorder="1" applyAlignment="1"/>
    <xf numFmtId="0" fontId="10" fillId="0" borderId="1" xfId="0" applyFont="1" applyFill="1" applyBorder="1" applyAlignment="1">
      <alignment horizontal="center"/>
    </xf>
    <xf numFmtId="4" fontId="10" fillId="0" borderId="9" xfId="0" applyNumberFormat="1" applyFont="1" applyFill="1" applyBorder="1" applyAlignment="1" applyProtection="1">
      <alignment horizontal="center"/>
    </xf>
    <xf numFmtId="0" fontId="10" fillId="0" borderId="4" xfId="0" applyFont="1" applyBorder="1" applyAlignment="1"/>
    <xf numFmtId="164" fontId="10" fillId="0" borderId="1" xfId="0" applyNumberFormat="1" applyFont="1" applyBorder="1" applyAlignment="1"/>
    <xf numFmtId="0" fontId="10" fillId="0" borderId="2" xfId="0" applyFont="1" applyBorder="1" applyAlignment="1">
      <alignment horizontal="center"/>
    </xf>
    <xf numFmtId="0" fontId="10" fillId="0" borderId="2" xfId="0" applyFont="1" applyBorder="1" applyAlignment="1">
      <alignment horizontal="left" wrapText="1"/>
    </xf>
    <xf numFmtId="164" fontId="6" fillId="0" borderId="12" xfId="0" applyNumberFormat="1" applyFont="1" applyBorder="1" applyAlignment="1"/>
    <xf numFmtId="0" fontId="10" fillId="0" borderId="4" xfId="0" applyFont="1" applyBorder="1" applyAlignment="1">
      <alignment horizontal="center"/>
    </xf>
    <xf numFmtId="0" fontId="9" fillId="0" borderId="4" xfId="0" applyFont="1" applyBorder="1" applyAlignment="1">
      <alignment horizontal="left" wrapText="1"/>
    </xf>
    <xf numFmtId="0" fontId="6" fillId="0" borderId="21" xfId="0" applyFont="1" applyBorder="1" applyAlignment="1">
      <alignment horizontal="center"/>
    </xf>
    <xf numFmtId="0" fontId="10" fillId="0" borderId="4" xfId="0" quotePrefix="1" applyFont="1" applyBorder="1" applyAlignment="1">
      <alignment horizontal="center"/>
    </xf>
    <xf numFmtId="0" fontId="10" fillId="0" borderId="18" xfId="0" applyFont="1" applyBorder="1" applyAlignment="1">
      <alignment horizontal="center"/>
    </xf>
    <xf numFmtId="0" fontId="10" fillId="0" borderId="16" xfId="0" applyFont="1" applyBorder="1" applyAlignment="1"/>
    <xf numFmtId="0" fontId="10" fillId="0" borderId="16" xfId="0" applyFont="1" applyBorder="1" applyAlignment="1">
      <alignment wrapText="1"/>
    </xf>
    <xf numFmtId="0" fontId="10" fillId="0" borderId="17" xfId="0" applyFont="1" applyBorder="1" applyAlignment="1"/>
    <xf numFmtId="0" fontId="10" fillId="0" borderId="1" xfId="0" applyFont="1" applyFill="1" applyBorder="1" applyAlignment="1">
      <alignment horizontal="left" wrapText="1"/>
    </xf>
    <xf numFmtId="0" fontId="6" fillId="0" borderId="4" xfId="0" applyFont="1" applyBorder="1" applyAlignment="1">
      <alignment horizontal="left" wrapText="1"/>
    </xf>
    <xf numFmtId="4" fontId="10" fillId="0" borderId="1" xfId="0" applyNumberFormat="1" applyFont="1" applyBorder="1" applyAlignment="1">
      <alignment vertical="center"/>
    </xf>
    <xf numFmtId="164" fontId="10" fillId="0" borderId="1" xfId="0" applyNumberFormat="1" applyFont="1" applyBorder="1" applyAlignment="1">
      <alignment vertical="center"/>
    </xf>
    <xf numFmtId="4" fontId="10" fillId="0" borderId="1" xfId="0" applyNumberFormat="1" applyFont="1" applyFill="1" applyBorder="1" applyAlignment="1" applyProtection="1">
      <alignment horizontal="right" vertical="center" wrapText="1"/>
    </xf>
    <xf numFmtId="0" fontId="10" fillId="0" borderId="1" xfId="0" applyFont="1" applyFill="1" applyBorder="1" applyAlignment="1" applyProtection="1">
      <alignment vertical="center"/>
    </xf>
    <xf numFmtId="164" fontId="40" fillId="0" borderId="0" xfId="0" applyNumberFormat="1" applyFont="1"/>
    <xf numFmtId="0" fontId="9" fillId="0" borderId="4" xfId="0" applyFont="1" applyBorder="1" applyAlignment="1" applyProtection="1">
      <alignment wrapText="1"/>
    </xf>
    <xf numFmtId="0" fontId="10" fillId="0" borderId="1" xfId="0" applyFont="1" applyBorder="1" applyAlignment="1">
      <alignment vertical="center" wrapText="1"/>
    </xf>
    <xf numFmtId="164" fontId="2" fillId="0" borderId="0" xfId="0" applyNumberFormat="1" applyFont="1"/>
    <xf numFmtId="0" fontId="0" fillId="6" borderId="0" xfId="0" applyFill="1"/>
    <xf numFmtId="4" fontId="0" fillId="6" borderId="0" xfId="0" applyNumberFormat="1" applyFill="1"/>
    <xf numFmtId="0" fontId="0" fillId="6" borderId="0" xfId="0" applyFont="1" applyFill="1" applyBorder="1"/>
    <xf numFmtId="0" fontId="8" fillId="2" borderId="18" xfId="0" applyFont="1" applyFill="1" applyBorder="1" applyAlignment="1">
      <alignment horizontal="center" vertical="center"/>
    </xf>
    <xf numFmtId="164" fontId="10" fillId="2" borderId="1" xfId="0" applyNumberFormat="1" applyFont="1" applyFill="1" applyBorder="1" applyAlignment="1" applyProtection="1">
      <alignment horizontal="center" vertical="center" wrapText="1"/>
    </xf>
    <xf numFmtId="10" fontId="10" fillId="2" borderId="19" xfId="0" applyNumberFormat="1" applyFont="1" applyFill="1" applyBorder="1" applyAlignment="1" applyProtection="1">
      <alignment horizontal="center" vertical="center" wrapText="1"/>
    </xf>
    <xf numFmtId="4" fontId="0" fillId="2" borderId="0" xfId="0" applyNumberFormat="1" applyFill="1"/>
    <xf numFmtId="166" fontId="8" fillId="2" borderId="1" xfId="3" applyNumberFormat="1" applyFont="1" applyFill="1" applyBorder="1" applyAlignment="1">
      <alignment horizontal="center" wrapText="1"/>
    </xf>
    <xf numFmtId="0" fontId="15" fillId="2" borderId="1" xfId="3" applyFont="1" applyFill="1" applyBorder="1" applyAlignment="1">
      <alignment wrapText="1"/>
    </xf>
    <xf numFmtId="0" fontId="8" fillId="2" borderId="1" xfId="0" quotePrefix="1" applyFont="1" applyFill="1" applyBorder="1" applyAlignment="1">
      <alignment horizontal="center" vertical="center"/>
    </xf>
    <xf numFmtId="4" fontId="15" fillId="2" borderId="1" xfId="3" applyNumberFormat="1" applyFont="1" applyFill="1" applyBorder="1" applyAlignment="1">
      <alignment horizontal="center" vertical="center" wrapText="1"/>
    </xf>
    <xf numFmtId="4" fontId="8" fillId="2" borderId="1" xfId="0" applyNumberFormat="1" applyFont="1" applyFill="1" applyBorder="1" applyAlignment="1">
      <alignment horizontal="center" vertical="center"/>
    </xf>
    <xf numFmtId="164" fontId="8" fillId="2" borderId="1" xfId="0" applyNumberFormat="1" applyFont="1" applyFill="1" applyBorder="1" applyAlignment="1">
      <alignment horizontal="center" vertical="center"/>
    </xf>
    <xf numFmtId="0" fontId="0" fillId="2" borderId="0" xfId="0" applyFill="1"/>
    <xf numFmtId="0" fontId="10" fillId="2" borderId="1" xfId="0" applyFont="1" applyFill="1" applyBorder="1" applyAlignment="1" applyProtection="1">
      <alignment horizontal="center" vertical="center"/>
    </xf>
    <xf numFmtId="0" fontId="8" fillId="2" borderId="2" xfId="0" applyFont="1" applyFill="1" applyBorder="1" applyAlignment="1">
      <alignment horizontal="center" vertical="center"/>
    </xf>
    <xf numFmtId="0" fontId="8" fillId="2" borderId="2" xfId="0" applyFont="1" applyFill="1" applyBorder="1" applyAlignment="1">
      <alignment horizontal="left" wrapText="1"/>
    </xf>
    <xf numFmtId="0" fontId="8" fillId="2" borderId="1" xfId="0" quotePrefix="1" applyFont="1" applyFill="1" applyBorder="1" applyAlignment="1">
      <alignment horizontal="center"/>
    </xf>
    <xf numFmtId="0" fontId="8" fillId="2" borderId="1" xfId="0" applyFont="1" applyFill="1" applyBorder="1" applyAlignment="1">
      <alignment horizontal="center"/>
    </xf>
    <xf numFmtId="10" fontId="10" fillId="2" borderId="19" xfId="0" applyNumberFormat="1" applyFont="1" applyFill="1" applyBorder="1" applyAlignment="1" applyProtection="1">
      <alignment horizontal="center" wrapText="1"/>
    </xf>
    <xf numFmtId="0" fontId="8" fillId="2" borderId="1" xfId="0" applyFont="1" applyFill="1" applyBorder="1" applyAlignment="1">
      <alignment horizontal="center" vertical="center"/>
    </xf>
    <xf numFmtId="0" fontId="8" fillId="2" borderId="1" xfId="0" applyFont="1" applyFill="1" applyBorder="1" applyAlignment="1">
      <alignment horizontal="left" wrapText="1"/>
    </xf>
    <xf numFmtId="4" fontId="8" fillId="2" borderId="1" xfId="0" applyNumberFormat="1" applyFont="1" applyFill="1" applyBorder="1" applyAlignment="1"/>
    <xf numFmtId="164" fontId="10" fillId="2" borderId="1" xfId="0" applyNumberFormat="1" applyFont="1" applyFill="1" applyBorder="1" applyAlignment="1" applyProtection="1">
      <alignment wrapText="1"/>
    </xf>
    <xf numFmtId="164" fontId="8" fillId="2" borderId="1" xfId="0" applyNumberFormat="1" applyFont="1" applyFill="1" applyBorder="1" applyAlignment="1"/>
    <xf numFmtId="4" fontId="10" fillId="2" borderId="1" xfId="0" applyNumberFormat="1" applyFont="1" applyFill="1" applyBorder="1" applyAlignment="1"/>
    <xf numFmtId="164" fontId="10" fillId="2" borderId="1" xfId="0" applyNumberFormat="1" applyFont="1" applyFill="1" applyBorder="1" applyAlignment="1"/>
    <xf numFmtId="0" fontId="2" fillId="2" borderId="0" xfId="0" applyFont="1" applyFill="1"/>
    <xf numFmtId="0" fontId="0" fillId="2" borderId="0" xfId="0" applyFont="1" applyFill="1" applyBorder="1"/>
    <xf numFmtId="167" fontId="0" fillId="0" borderId="0" xfId="0" applyNumberFormat="1"/>
    <xf numFmtId="0" fontId="2" fillId="0" borderId="0" xfId="0" applyFont="1" applyBorder="1" applyAlignment="1"/>
    <xf numFmtId="0" fontId="2" fillId="0" borderId="0" xfId="0" applyFont="1" applyBorder="1" applyAlignment="1">
      <alignment wrapText="1"/>
    </xf>
    <xf numFmtId="0" fontId="4" fillId="0" borderId="0" xfId="0" applyFont="1" applyBorder="1" applyAlignment="1">
      <alignment wrapText="1"/>
    </xf>
    <xf numFmtId="0" fontId="2" fillId="0" borderId="0" xfId="0" applyFont="1" applyBorder="1" applyAlignment="1">
      <alignment wrapText="1"/>
    </xf>
    <xf numFmtId="0" fontId="2" fillId="0" borderId="0" xfId="0" applyFont="1" applyBorder="1" applyAlignment="1"/>
    <xf numFmtId="0" fontId="4" fillId="0" borderId="0" xfId="0" applyFont="1" applyBorder="1" applyAlignment="1">
      <alignment wrapText="1"/>
    </xf>
    <xf numFmtId="0" fontId="10" fillId="5" borderId="1" xfId="4" applyFont="1" applyFill="1" applyBorder="1" applyAlignment="1">
      <alignment horizontal="center" vertical="center" wrapText="1"/>
    </xf>
    <xf numFmtId="4" fontId="10" fillId="0" borderId="1" xfId="0" applyNumberFormat="1" applyFont="1" applyBorder="1" applyAlignment="1">
      <alignment horizontal="center" vertical="center" wrapText="1"/>
    </xf>
    <xf numFmtId="0" fontId="2" fillId="0" borderId="0" xfId="0" applyFont="1" applyBorder="1" applyAlignment="1">
      <alignment vertical="center" wrapText="1"/>
    </xf>
    <xf numFmtId="0" fontId="4" fillId="0" borderId="0" xfId="0" applyFont="1" applyBorder="1" applyAlignment="1">
      <alignment vertical="center" wrapText="1"/>
    </xf>
    <xf numFmtId="0" fontId="2" fillId="0" borderId="0" xfId="0" applyFont="1" applyBorder="1" applyAlignment="1">
      <alignment horizontal="center"/>
    </xf>
    <xf numFmtId="0" fontId="2" fillId="0" borderId="0" xfId="0" applyFont="1" applyBorder="1" applyAlignment="1"/>
    <xf numFmtId="0" fontId="10" fillId="0" borderId="9" xfId="0" applyFont="1" applyFill="1" applyBorder="1" applyAlignment="1" applyProtection="1">
      <alignment horizontal="center" vertical="center" wrapText="1"/>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2" fillId="0" borderId="0" xfId="0" applyFont="1" applyBorder="1" applyAlignment="1">
      <alignment horizontal="center" vertical="center"/>
    </xf>
    <xf numFmtId="0" fontId="0" fillId="0" borderId="17" xfId="0" applyBorder="1" applyAlignment="1"/>
    <xf numFmtId="0" fontId="2" fillId="0" borderId="0" xfId="0" applyFont="1" applyBorder="1" applyAlignment="1">
      <alignment horizontal="center"/>
    </xf>
    <xf numFmtId="0" fontId="2" fillId="0" borderId="0" xfId="0" applyFont="1" applyBorder="1" applyAlignment="1"/>
    <xf numFmtId="0" fontId="10" fillId="0" borderId="9" xfId="0" applyFont="1" applyFill="1" applyBorder="1" applyAlignment="1" applyProtection="1">
      <alignment horizontal="center" vertical="center" wrapText="1"/>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2" fillId="0" borderId="0" xfId="0" applyFont="1" applyBorder="1" applyAlignment="1">
      <alignment horizontal="center" vertical="center"/>
    </xf>
    <xf numFmtId="4" fontId="10" fillId="0" borderId="1" xfId="0" applyNumberFormat="1" applyFont="1" applyBorder="1" applyAlignment="1">
      <alignment horizontal="center"/>
    </xf>
    <xf numFmtId="0" fontId="2" fillId="0" borderId="0" xfId="0" applyFont="1" applyBorder="1" applyAlignment="1">
      <alignment horizontal="center" vertical="center"/>
    </xf>
    <xf numFmtId="2" fontId="10" fillId="0" borderId="1" xfId="0" applyNumberFormat="1" applyFont="1" applyBorder="1" applyAlignment="1">
      <alignment horizontal="center" vertical="center"/>
    </xf>
    <xf numFmtId="0" fontId="5" fillId="0" borderId="30" xfId="0" applyFont="1" applyBorder="1" applyAlignment="1">
      <alignment horizontal="center"/>
    </xf>
    <xf numFmtId="0" fontId="0" fillId="0" borderId="31" xfId="0" applyBorder="1" applyAlignment="1"/>
    <xf numFmtId="0" fontId="0" fillId="0" borderId="0" xfId="0" applyBorder="1" applyAlignment="1">
      <alignment horizontal="left"/>
    </xf>
    <xf numFmtId="4" fontId="21" fillId="0" borderId="0" xfId="0" applyNumberFormat="1" applyFont="1"/>
    <xf numFmtId="0" fontId="0" fillId="0" borderId="24" xfId="0" applyBorder="1" applyAlignment="1"/>
    <xf numFmtId="0" fontId="0" fillId="0" borderId="0" xfId="0" applyAlignment="1">
      <alignment horizontal="left"/>
    </xf>
    <xf numFmtId="0" fontId="2" fillId="0" borderId="0" xfId="0" applyFont="1" applyBorder="1" applyAlignment="1">
      <alignment horizontal="center"/>
    </xf>
    <xf numFmtId="0" fontId="2" fillId="0" borderId="0" xfId="0" applyFont="1" applyBorder="1" applyAlignment="1"/>
    <xf numFmtId="0" fontId="2" fillId="0" borderId="0" xfId="0" applyFont="1" applyBorder="1" applyAlignment="1">
      <alignment horizontal="left" wrapText="1"/>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0" fillId="0" borderId="24" xfId="0" applyBorder="1" applyAlignment="1">
      <alignment horizontal="center"/>
    </xf>
    <xf numFmtId="0" fontId="0" fillId="0" borderId="0" xfId="0" applyAlignment="1">
      <alignment horizontal="center"/>
    </xf>
    <xf numFmtId="0" fontId="42" fillId="0" borderId="0" xfId="0" applyFont="1" applyFill="1" applyAlignment="1">
      <alignment horizontal="center" vertical="center"/>
    </xf>
    <xf numFmtId="0" fontId="0" fillId="0" borderId="0" xfId="0" applyBorder="1" applyAlignment="1">
      <alignment horizontal="center"/>
    </xf>
    <xf numFmtId="0" fontId="9" fillId="0" borderId="1" xfId="0" applyFont="1" applyBorder="1" applyAlignment="1" applyProtection="1">
      <alignment horizontal="left" vertical="center" wrapText="1"/>
    </xf>
    <xf numFmtId="4" fontId="6" fillId="0" borderId="1" xfId="0" applyNumberFormat="1" applyFont="1" applyBorder="1" applyAlignment="1" applyProtection="1">
      <alignment horizontal="center" vertical="center" wrapText="1"/>
    </xf>
    <xf numFmtId="164" fontId="23" fillId="4" borderId="12" xfId="0" applyNumberFormat="1" applyFont="1" applyFill="1" applyBorder="1"/>
    <xf numFmtId="0" fontId="0" fillId="0" borderId="0" xfId="0" applyBorder="1" applyAlignment="1"/>
    <xf numFmtId="0" fontId="42" fillId="0" borderId="0" xfId="0" applyFont="1" applyBorder="1" applyAlignment="1"/>
    <xf numFmtId="0" fontId="16" fillId="3" borderId="24" xfId="0" applyFont="1" applyFill="1" applyBorder="1" applyAlignment="1">
      <alignment horizontal="center" wrapText="1"/>
    </xf>
    <xf numFmtId="0" fontId="6" fillId="3" borderId="24" xfId="0" applyFont="1" applyFill="1" applyBorder="1" applyAlignment="1">
      <alignment horizontal="center" wrapText="1"/>
    </xf>
    <xf numFmtId="164" fontId="17" fillId="0" borderId="24" xfId="0" applyNumberFormat="1" applyFont="1" applyFill="1" applyBorder="1" applyAlignment="1" applyProtection="1"/>
    <xf numFmtId="10" fontId="6" fillId="0" borderId="24" xfId="2" applyNumberFormat="1" applyFont="1" applyFill="1" applyBorder="1" applyAlignment="1" applyProtection="1">
      <alignment horizontal="center"/>
    </xf>
    <xf numFmtId="0" fontId="0" fillId="0" borderId="0" xfId="0" applyBorder="1" applyAlignment="1">
      <alignment horizontal="left" wrapText="1"/>
    </xf>
    <xf numFmtId="0" fontId="22" fillId="4" borderId="3" xfId="0" applyFont="1" applyFill="1" applyBorder="1" applyAlignment="1"/>
    <xf numFmtId="0" fontId="0" fillId="0" borderId="24" xfId="0" applyBorder="1" applyAlignment="1"/>
    <xf numFmtId="0" fontId="10" fillId="0" borderId="16" xfId="0" applyFont="1" applyBorder="1" applyAlignment="1">
      <alignment horizontal="center" vertical="center"/>
    </xf>
    <xf numFmtId="4" fontId="23" fillId="4" borderId="12" xfId="0" applyNumberFormat="1" applyFont="1" applyFill="1" applyBorder="1"/>
    <xf numFmtId="0" fontId="24" fillId="0" borderId="24" xfId="0" applyFont="1" applyBorder="1" applyAlignment="1"/>
    <xf numFmtId="0" fontId="16" fillId="3" borderId="0" xfId="0" applyFont="1" applyFill="1" applyBorder="1" applyAlignment="1">
      <alignment horizontal="center" wrapText="1"/>
    </xf>
    <xf numFmtId="0" fontId="10" fillId="3" borderId="0" xfId="0" applyFont="1" applyFill="1" applyBorder="1" applyAlignment="1">
      <alignment horizontal="left" wrapText="1"/>
    </xf>
    <xf numFmtId="0" fontId="6" fillId="3" borderId="0" xfId="0" applyFont="1" applyFill="1" applyBorder="1" applyAlignment="1">
      <alignment horizontal="center" wrapText="1"/>
    </xf>
    <xf numFmtId="164" fontId="17" fillId="0" borderId="0" xfId="0" applyNumberFormat="1" applyFont="1" applyFill="1" applyBorder="1" applyAlignment="1" applyProtection="1"/>
    <xf numFmtId="10" fontId="6" fillId="0" borderId="0" xfId="2" applyNumberFormat="1" applyFont="1" applyFill="1" applyBorder="1" applyAlignment="1" applyProtection="1">
      <alignment horizontal="center"/>
    </xf>
    <xf numFmtId="4" fontId="8" fillId="0" borderId="1" xfId="0" applyNumberFormat="1" applyFont="1" applyBorder="1" applyAlignment="1">
      <alignment horizontal="right"/>
    </xf>
    <xf numFmtId="4" fontId="8" fillId="2" borderId="1" xfId="0" applyNumberFormat="1" applyFont="1" applyFill="1" applyBorder="1" applyAlignment="1">
      <alignment horizontal="right"/>
    </xf>
    <xf numFmtId="4" fontId="15" fillId="2" borderId="1" xfId="3" applyNumberFormat="1" applyFont="1" applyFill="1" applyBorder="1" applyAlignment="1">
      <alignment horizontal="right" wrapText="1"/>
    </xf>
    <xf numFmtId="0" fontId="10" fillId="0" borderId="4" xfId="0" applyFont="1" applyFill="1" applyBorder="1" applyAlignment="1" applyProtection="1">
      <alignment horizontal="center" wrapText="1"/>
    </xf>
    <xf numFmtId="164" fontId="20" fillId="0" borderId="9" xfId="0" applyNumberFormat="1" applyFont="1" applyFill="1" applyBorder="1" applyAlignment="1" applyProtection="1">
      <alignment vertical="center"/>
    </xf>
    <xf numFmtId="164" fontId="10" fillId="0" borderId="1" xfId="0" applyNumberFormat="1" applyFont="1" applyFill="1" applyBorder="1" applyAlignment="1" applyProtection="1">
      <alignment horizontal="right" wrapText="1"/>
    </xf>
    <xf numFmtId="164" fontId="10" fillId="0" borderId="1" xfId="0" applyNumberFormat="1" applyFont="1" applyFill="1" applyBorder="1" applyAlignment="1" applyProtection="1">
      <alignment horizontal="right" vertical="center" wrapText="1"/>
    </xf>
    <xf numFmtId="0" fontId="9" fillId="0" borderId="1" xfId="0" applyFont="1" applyBorder="1" applyAlignment="1" applyProtection="1">
      <alignment horizontal="left" wrapText="1"/>
    </xf>
    <xf numFmtId="4" fontId="6" fillId="0" borderId="1" xfId="0" applyNumberFormat="1" applyFont="1" applyBorder="1" applyAlignment="1" applyProtection="1">
      <alignment horizontal="center" wrapText="1"/>
    </xf>
    <xf numFmtId="164" fontId="6" fillId="0" borderId="9" xfId="0" applyNumberFormat="1" applyFont="1" applyFill="1" applyBorder="1" applyAlignment="1" applyProtection="1">
      <alignment horizontal="center" vertical="center"/>
    </xf>
    <xf numFmtId="0" fontId="0" fillId="0" borderId="0" xfId="0" applyBorder="1" applyAlignment="1">
      <alignment horizontal="center"/>
    </xf>
    <xf numFmtId="164" fontId="0" fillId="0" borderId="0" xfId="0" applyNumberFormat="1" applyBorder="1" applyAlignment="1">
      <alignment horizontal="right"/>
    </xf>
    <xf numFmtId="0" fontId="2" fillId="0" borderId="0" xfId="0" applyFont="1" applyBorder="1" applyAlignment="1"/>
    <xf numFmtId="0" fontId="2" fillId="0" borderId="0" xfId="0" applyFont="1" applyBorder="1" applyAlignment="1">
      <alignment horizontal="center" vertical="center"/>
    </xf>
    <xf numFmtId="0" fontId="0" fillId="0" borderId="0" xfId="0" applyBorder="1" applyAlignment="1">
      <alignment horizontal="center"/>
    </xf>
    <xf numFmtId="0" fontId="37" fillId="0" borderId="9" xfId="0" applyFont="1" applyBorder="1" applyAlignment="1">
      <alignment horizontal="center" vertical="center" wrapText="1"/>
    </xf>
    <xf numFmtId="0" fontId="37" fillId="0" borderId="16" xfId="0" applyFont="1" applyBorder="1" applyAlignment="1">
      <alignment horizontal="center" vertical="center" wrapText="1"/>
    </xf>
    <xf numFmtId="0" fontId="32" fillId="0" borderId="17" xfId="0" applyFont="1" applyBorder="1" applyAlignment="1">
      <alignment horizontal="center" vertical="center" wrapText="1"/>
    </xf>
    <xf numFmtId="0" fontId="5" fillId="0" borderId="9" xfId="0" applyFont="1" applyBorder="1" applyAlignment="1">
      <alignment horizontal="center"/>
    </xf>
    <xf numFmtId="0" fontId="0" fillId="0" borderId="16" xfId="0" applyBorder="1" applyAlignment="1"/>
    <xf numFmtId="0" fontId="0" fillId="0" borderId="24" xfId="0" applyBorder="1" applyAlignment="1"/>
    <xf numFmtId="0" fontId="0" fillId="0" borderId="25" xfId="0" applyBorder="1" applyAlignment="1"/>
    <xf numFmtId="0" fontId="0" fillId="0" borderId="24" xfId="0" applyBorder="1" applyAlignment="1">
      <alignment horizontal="center"/>
    </xf>
    <xf numFmtId="0" fontId="0" fillId="0" borderId="0" xfId="0" applyAlignment="1">
      <alignment horizontal="center"/>
    </xf>
    <xf numFmtId="164" fontId="0" fillId="0" borderId="0" xfId="0" applyNumberFormat="1" applyBorder="1" applyAlignment="1">
      <alignment horizontal="right"/>
    </xf>
    <xf numFmtId="0" fontId="0" fillId="0" borderId="0" xfId="0" applyFont="1" applyBorder="1" applyAlignment="1">
      <alignment horizontal="center"/>
    </xf>
    <xf numFmtId="0" fontId="2" fillId="4" borderId="28"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27" xfId="0" applyFont="1" applyFill="1" applyBorder="1" applyAlignment="1">
      <alignment horizontal="center" vertical="center" wrapText="1"/>
    </xf>
    <xf numFmtId="0" fontId="2" fillId="4" borderId="29" xfId="0" applyFont="1" applyFill="1" applyBorder="1" applyAlignment="1">
      <alignment horizontal="center" vertical="center" wrapText="1"/>
    </xf>
    <xf numFmtId="164" fontId="22" fillId="4" borderId="5" xfId="0" applyNumberFormat="1" applyFont="1" applyFill="1" applyBorder="1" applyAlignment="1">
      <alignment horizontal="center" vertical="center"/>
    </xf>
    <xf numFmtId="164" fontId="22" fillId="4" borderId="20" xfId="0" applyNumberFormat="1" applyFont="1" applyFill="1" applyBorder="1" applyAlignment="1">
      <alignment horizontal="center" vertical="center"/>
    </xf>
    <xf numFmtId="164" fontId="22" fillId="4" borderId="6" xfId="0" applyNumberFormat="1" applyFont="1" applyFill="1" applyBorder="1" applyAlignment="1">
      <alignment horizontal="center" vertical="center"/>
    </xf>
    <xf numFmtId="4" fontId="22" fillId="4" borderId="5" xfId="0" applyNumberFormat="1" applyFont="1" applyFill="1" applyBorder="1" applyAlignment="1">
      <alignment horizontal="center" vertical="center"/>
    </xf>
    <xf numFmtId="4" fontId="22" fillId="4" borderId="20" xfId="0" applyNumberFormat="1" applyFont="1" applyFill="1" applyBorder="1" applyAlignment="1">
      <alignment horizontal="center" vertical="center"/>
    </xf>
    <xf numFmtId="4" fontId="22" fillId="4" borderId="6" xfId="0" applyNumberFormat="1" applyFont="1" applyFill="1" applyBorder="1" applyAlignment="1">
      <alignment horizontal="center" vertical="center"/>
    </xf>
    <xf numFmtId="0" fontId="2" fillId="4" borderId="36" xfId="0" applyFont="1" applyFill="1" applyBorder="1" applyAlignment="1">
      <alignment horizontal="center" vertical="center" wrapText="1"/>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7" xfId="0" applyFont="1" applyBorder="1" applyAlignment="1">
      <alignment horizontal="center" vertical="center" wrapText="1"/>
    </xf>
    <xf numFmtId="0" fontId="0" fillId="0" borderId="23" xfId="0" applyFont="1" applyBorder="1" applyAlignment="1">
      <alignment horizontal="center" vertical="center" wrapText="1"/>
    </xf>
    <xf numFmtId="0" fontId="0" fillId="0" borderId="8"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9" xfId="0" applyFont="1" applyBorder="1" applyAlignment="1">
      <alignment horizontal="center" vertical="center" wrapText="1"/>
    </xf>
    <xf numFmtId="10" fontId="22" fillId="4" borderId="2" xfId="0" applyNumberFormat="1" applyFont="1" applyFill="1" applyBorder="1" applyAlignment="1">
      <alignment horizontal="center" vertical="center"/>
    </xf>
    <xf numFmtId="10" fontId="22" fillId="4" borderId="3" xfId="0" applyNumberFormat="1" applyFont="1" applyFill="1" applyBorder="1" applyAlignment="1">
      <alignment horizontal="center" vertical="center"/>
    </xf>
    <xf numFmtId="10" fontId="22" fillId="4" borderId="4" xfId="0" applyNumberFormat="1" applyFont="1" applyFill="1" applyBorder="1" applyAlignment="1">
      <alignment horizontal="center" vertical="center"/>
    </xf>
    <xf numFmtId="0" fontId="2" fillId="4" borderId="28"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23"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27" xfId="0" applyFont="1" applyFill="1" applyBorder="1" applyAlignment="1">
      <alignment horizontal="center" vertical="center"/>
    </xf>
    <xf numFmtId="0" fontId="2" fillId="4" borderId="29" xfId="0" applyFont="1" applyFill="1" applyBorder="1" applyAlignment="1">
      <alignment horizontal="center" vertical="center"/>
    </xf>
    <xf numFmtId="4" fontId="22" fillId="4" borderId="2" xfId="0" applyNumberFormat="1" applyFont="1" applyFill="1" applyBorder="1" applyAlignment="1">
      <alignment horizontal="center" vertical="center"/>
    </xf>
    <xf numFmtId="4" fontId="22" fillId="4" borderId="3" xfId="0" applyNumberFormat="1" applyFont="1" applyFill="1" applyBorder="1" applyAlignment="1">
      <alignment horizontal="center" vertical="center"/>
    </xf>
    <xf numFmtId="4" fontId="22" fillId="4" borderId="4" xfId="0" applyNumberFormat="1" applyFont="1" applyFill="1" applyBorder="1" applyAlignment="1">
      <alignment horizontal="center" vertical="center"/>
    </xf>
    <xf numFmtId="164" fontId="30" fillId="4" borderId="5" xfId="0" applyNumberFormat="1" applyFont="1" applyFill="1" applyBorder="1" applyAlignment="1">
      <alignment horizontal="center" vertical="center"/>
    </xf>
    <xf numFmtId="164" fontId="30" fillId="4" borderId="20" xfId="0" applyNumberFormat="1" applyFont="1" applyFill="1" applyBorder="1" applyAlignment="1">
      <alignment horizontal="center" vertical="center"/>
    </xf>
    <xf numFmtId="164" fontId="30" fillId="4" borderId="6" xfId="0" applyNumberFormat="1" applyFont="1" applyFill="1" applyBorder="1" applyAlignment="1">
      <alignment horizontal="center" vertical="center"/>
    </xf>
    <xf numFmtId="0" fontId="33" fillId="0" borderId="9" xfId="0" applyFont="1" applyBorder="1" applyAlignment="1">
      <alignment horizontal="center"/>
    </xf>
    <xf numFmtId="0" fontId="33" fillId="0" borderId="16" xfId="0" applyFont="1" applyBorder="1" applyAlignment="1">
      <alignment horizontal="center"/>
    </xf>
    <xf numFmtId="0" fontId="33" fillId="0" borderId="17" xfId="0" applyFont="1" applyBorder="1" applyAlignment="1">
      <alignment horizontal="center"/>
    </xf>
    <xf numFmtId="0" fontId="31" fillId="0" borderId="10" xfId="0" applyFont="1" applyBorder="1" applyAlignment="1">
      <alignment vertical="center"/>
    </xf>
    <xf numFmtId="0" fontId="32" fillId="0" borderId="11" xfId="0" applyFont="1" applyBorder="1" applyAlignment="1">
      <alignment vertical="center"/>
    </xf>
    <xf numFmtId="0" fontId="32" fillId="0" borderId="14" xfId="0" applyFont="1" applyBorder="1" applyAlignment="1">
      <alignment vertical="center"/>
    </xf>
    <xf numFmtId="0" fontId="2" fillId="0" borderId="10" xfId="0" applyFont="1" applyBorder="1" applyAlignment="1">
      <alignment vertical="center" wrapText="1"/>
    </xf>
    <xf numFmtId="0" fontId="0" fillId="0" borderId="11" xfId="0" applyFont="1" applyBorder="1" applyAlignment="1">
      <alignment vertical="center" wrapText="1"/>
    </xf>
    <xf numFmtId="0" fontId="0" fillId="0" borderId="14" xfId="0" applyFont="1" applyBorder="1" applyAlignment="1">
      <alignment vertical="center" wrapText="1"/>
    </xf>
    <xf numFmtId="0" fontId="18" fillId="4" borderId="2" xfId="0" applyFont="1" applyFill="1" applyBorder="1" applyAlignment="1">
      <alignment horizontal="center" vertical="center"/>
    </xf>
    <xf numFmtId="0" fontId="18" fillId="4" borderId="3" xfId="0" applyFont="1" applyFill="1" applyBorder="1" applyAlignment="1">
      <alignment horizontal="center" vertical="center"/>
    </xf>
    <xf numFmtId="0" fontId="22" fillId="4" borderId="5" xfId="0" applyFont="1" applyFill="1" applyBorder="1" applyAlignment="1">
      <alignment horizontal="center" vertical="center"/>
    </xf>
    <xf numFmtId="0" fontId="22" fillId="4" borderId="20" xfId="0" applyFont="1" applyFill="1" applyBorder="1" applyAlignment="1">
      <alignment horizontal="center" vertical="center"/>
    </xf>
    <xf numFmtId="0" fontId="22" fillId="4" borderId="6" xfId="0" applyFont="1" applyFill="1" applyBorder="1" applyAlignment="1">
      <alignment horizontal="center" vertical="center"/>
    </xf>
    <xf numFmtId="0" fontId="18" fillId="4" borderId="3" xfId="0" applyFont="1" applyFill="1" applyBorder="1" applyAlignment="1">
      <alignment horizontal="center"/>
    </xf>
    <xf numFmtId="0" fontId="18" fillId="4" borderId="4" xfId="0" applyFont="1" applyFill="1" applyBorder="1" applyAlignment="1">
      <alignment horizontal="center"/>
    </xf>
    <xf numFmtId="0" fontId="0" fillId="0" borderId="0" xfId="0" applyAlignment="1">
      <alignment horizontal="right"/>
    </xf>
    <xf numFmtId="0" fontId="10" fillId="0" borderId="9" xfId="0" applyFont="1" applyFill="1" applyBorder="1" applyAlignment="1" applyProtection="1">
      <alignment wrapText="1"/>
    </xf>
    <xf numFmtId="0" fontId="8" fillId="0" borderId="16" xfId="0" applyFont="1" applyBorder="1" applyAlignment="1"/>
    <xf numFmtId="0" fontId="8" fillId="0" borderId="17" xfId="0" applyFont="1" applyBorder="1" applyAlignment="1"/>
    <xf numFmtId="0" fontId="16" fillId="3" borderId="9" xfId="0" applyFont="1" applyFill="1" applyBorder="1" applyAlignment="1">
      <alignment horizontal="center" wrapText="1"/>
    </xf>
    <xf numFmtId="0" fontId="6" fillId="3" borderId="16" xfId="0" applyFont="1" applyFill="1" applyBorder="1" applyAlignment="1">
      <alignment horizontal="center" wrapText="1"/>
    </xf>
    <xf numFmtId="0" fontId="6" fillId="3" borderId="17" xfId="0" applyFont="1" applyFill="1" applyBorder="1" applyAlignment="1">
      <alignment horizontal="center" wrapText="1"/>
    </xf>
    <xf numFmtId="0" fontId="7" fillId="0" borderId="35" xfId="0" applyFont="1" applyBorder="1" applyAlignment="1" applyProtection="1">
      <alignment horizontal="center" vertical="center" wrapText="1"/>
    </xf>
    <xf numFmtId="0" fontId="7" fillId="0" borderId="3" xfId="0" applyFont="1" applyBorder="1" applyAlignment="1" applyProtection="1">
      <alignment horizontal="center" vertical="center" wrapText="1"/>
    </xf>
    <xf numFmtId="0" fontId="7" fillId="0" borderId="4" xfId="0" applyFont="1" applyBorder="1" applyAlignment="1" applyProtection="1">
      <alignment horizontal="center" vertical="center" wrapText="1"/>
    </xf>
    <xf numFmtId="0" fontId="6" fillId="0" borderId="35" xfId="0" applyFont="1" applyBorder="1" applyAlignment="1" applyProtection="1">
      <alignment horizontal="center" vertical="center" wrapText="1"/>
    </xf>
    <xf numFmtId="0" fontId="6" fillId="0" borderId="3" xfId="0" applyFont="1" applyBorder="1" applyAlignment="1" applyProtection="1">
      <alignment horizontal="center" vertical="center" wrapText="1"/>
    </xf>
    <xf numFmtId="0" fontId="6" fillId="0" borderId="4" xfId="0" applyFont="1" applyBorder="1" applyAlignment="1" applyProtection="1">
      <alignment horizontal="center" vertical="center" wrapText="1"/>
    </xf>
    <xf numFmtId="4" fontId="6" fillId="0" borderId="35" xfId="0" applyNumberFormat="1" applyFont="1" applyBorder="1" applyAlignment="1" applyProtection="1">
      <alignment horizontal="center" vertical="center" wrapText="1"/>
    </xf>
    <xf numFmtId="4" fontId="6" fillId="0" borderId="3" xfId="0" applyNumberFormat="1" applyFont="1" applyBorder="1" applyAlignment="1" applyProtection="1">
      <alignment horizontal="center" vertical="center" wrapText="1"/>
    </xf>
    <xf numFmtId="4" fontId="6" fillId="0" borderId="4" xfId="0" applyNumberFormat="1" applyFont="1" applyBorder="1" applyAlignment="1" applyProtection="1">
      <alignment horizontal="center" vertical="center" wrapText="1"/>
    </xf>
    <xf numFmtId="0" fontId="5" fillId="0" borderId="9" xfId="0" applyFont="1" applyBorder="1" applyAlignment="1">
      <alignment horizontal="center" vertical="center"/>
    </xf>
    <xf numFmtId="0" fontId="5" fillId="0" borderId="16" xfId="0" applyFont="1" applyBorder="1" applyAlignment="1">
      <alignment vertical="center"/>
    </xf>
    <xf numFmtId="0" fontId="5" fillId="0" borderId="17" xfId="0" applyFont="1" applyBorder="1" applyAlignment="1">
      <alignment vertical="center"/>
    </xf>
    <xf numFmtId="164" fontId="6" fillId="0" borderId="35" xfId="0" applyNumberFormat="1" applyFont="1" applyBorder="1" applyAlignment="1" applyProtection="1">
      <alignment horizontal="center" vertical="center" wrapText="1"/>
    </xf>
    <xf numFmtId="164" fontId="6" fillId="0" borderId="3" xfId="0" applyNumberFormat="1" applyFont="1" applyBorder="1" applyAlignment="1" applyProtection="1">
      <alignment horizontal="center" vertical="center" wrapText="1"/>
    </xf>
    <xf numFmtId="164" fontId="6" fillId="0" borderId="4" xfId="0" applyNumberFormat="1" applyFont="1" applyBorder="1" applyAlignment="1" applyProtection="1">
      <alignment horizontal="center" vertical="center" wrapText="1"/>
    </xf>
    <xf numFmtId="164" fontId="17" fillId="0" borderId="35" xfId="1" applyNumberFormat="1" applyFont="1" applyBorder="1" applyAlignment="1" applyProtection="1">
      <alignment horizontal="center" vertical="center" wrapText="1"/>
    </xf>
    <xf numFmtId="164" fontId="17" fillId="0" borderId="3" xfId="1" applyNumberFormat="1" applyFont="1" applyBorder="1" applyAlignment="1" applyProtection="1">
      <alignment horizontal="center" vertical="center" wrapText="1"/>
    </xf>
    <xf numFmtId="164" fontId="17" fillId="0" borderId="4" xfId="1" applyNumberFormat="1" applyFont="1" applyBorder="1" applyAlignment="1" applyProtection="1">
      <alignment horizontal="center" vertical="center" wrapText="1"/>
    </xf>
    <xf numFmtId="165" fontId="6" fillId="0" borderId="32" xfId="2" applyNumberFormat="1" applyFont="1" applyBorder="1" applyAlignment="1" applyProtection="1">
      <alignment horizontal="center" vertical="center" wrapText="1"/>
    </xf>
    <xf numFmtId="165" fontId="6" fillId="0" borderId="20" xfId="2" applyNumberFormat="1" applyFont="1" applyBorder="1" applyAlignment="1" applyProtection="1">
      <alignment horizontal="center" vertical="center" wrapText="1"/>
    </xf>
    <xf numFmtId="165" fontId="6" fillId="0" borderId="6" xfId="2" applyNumberFormat="1" applyFont="1" applyBorder="1" applyAlignment="1" applyProtection="1">
      <alignment horizontal="center" vertical="center" wrapText="1"/>
    </xf>
    <xf numFmtId="0" fontId="6" fillId="0" borderId="33" xfId="0" applyFont="1" applyBorder="1" applyAlignment="1" applyProtection="1">
      <alignment horizontal="center" vertical="center"/>
    </xf>
    <xf numFmtId="0" fontId="6" fillId="0" borderId="34" xfId="0" applyFont="1" applyBorder="1" applyAlignment="1" applyProtection="1">
      <alignment horizontal="center" vertical="center"/>
    </xf>
    <xf numFmtId="0" fontId="6" fillId="0" borderId="21" xfId="0" applyFont="1" applyBorder="1" applyAlignment="1" applyProtection="1">
      <alignment horizontal="center" vertical="center"/>
    </xf>
    <xf numFmtId="0" fontId="0" fillId="0" borderId="0" xfId="0" applyBorder="1" applyAlignment="1">
      <alignment horizontal="left"/>
    </xf>
    <xf numFmtId="0" fontId="0" fillId="0" borderId="0" xfId="0" applyAlignment="1">
      <alignment horizontal="left"/>
    </xf>
    <xf numFmtId="164" fontId="0" fillId="0" borderId="0" xfId="0" applyNumberFormat="1" applyAlignment="1">
      <alignment horizontal="right"/>
    </xf>
    <xf numFmtId="0" fontId="5" fillId="2" borderId="9" xfId="0" applyFont="1" applyFill="1" applyBorder="1" applyAlignment="1">
      <alignment horizontal="center" vertical="center"/>
    </xf>
    <xf numFmtId="0" fontId="5" fillId="2" borderId="16" xfId="0" applyFont="1" applyFill="1" applyBorder="1" applyAlignment="1">
      <alignment vertical="center"/>
    </xf>
    <xf numFmtId="0" fontId="5" fillId="2" borderId="17" xfId="0" applyFont="1" applyFill="1" applyBorder="1" applyAlignment="1">
      <alignment vertical="center"/>
    </xf>
    <xf numFmtId="0" fontId="42" fillId="0" borderId="0" xfId="0" applyFont="1" applyBorder="1" applyAlignment="1">
      <alignment horizontal="center"/>
    </xf>
    <xf numFmtId="0" fontId="16" fillId="3" borderId="9"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3" borderId="17" xfId="0" applyFont="1" applyFill="1" applyBorder="1" applyAlignment="1">
      <alignment horizontal="center" vertical="center" wrapText="1"/>
    </xf>
    <xf numFmtId="0" fontId="28" fillId="3" borderId="9" xfId="0" applyFont="1" applyFill="1" applyBorder="1" applyAlignment="1">
      <alignment horizontal="center" vertical="center" wrapText="1"/>
    </xf>
    <xf numFmtId="0" fontId="28" fillId="3" borderId="16" xfId="0" applyFont="1" applyFill="1" applyBorder="1" applyAlignment="1">
      <alignment horizontal="center" vertical="center" wrapText="1"/>
    </xf>
    <xf numFmtId="0" fontId="28" fillId="3" borderId="17" xfId="0" applyFont="1" applyFill="1" applyBorder="1" applyAlignment="1">
      <alignment horizontal="center" vertical="center" wrapText="1"/>
    </xf>
    <xf numFmtId="0" fontId="16" fillId="3" borderId="16" xfId="0" applyFont="1" applyFill="1" applyBorder="1" applyAlignment="1">
      <alignment horizontal="center" wrapText="1"/>
    </xf>
    <xf numFmtId="0" fontId="16" fillId="3" borderId="17" xfId="0" applyFont="1" applyFill="1" applyBorder="1" applyAlignment="1">
      <alignment horizontal="center" wrapText="1"/>
    </xf>
    <xf numFmtId="0" fontId="10" fillId="0" borderId="16" xfId="0" applyFont="1" applyFill="1" applyBorder="1" applyAlignment="1" applyProtection="1">
      <alignment wrapText="1"/>
    </xf>
    <xf numFmtId="0" fontId="10" fillId="0" borderId="17" xfId="0" applyFont="1" applyFill="1" applyBorder="1" applyAlignment="1" applyProtection="1">
      <alignment wrapText="1"/>
    </xf>
    <xf numFmtId="0" fontId="4" fillId="0" borderId="0" xfId="0" applyFont="1" applyBorder="1" applyAlignment="1">
      <alignment vertical="center"/>
    </xf>
    <xf numFmtId="0" fontId="2" fillId="0" borderId="0" xfId="0" applyFont="1" applyBorder="1" applyAlignment="1"/>
    <xf numFmtId="0" fontId="39" fillId="0" borderId="9" xfId="0" applyFont="1" applyBorder="1" applyAlignment="1">
      <alignment horizontal="center" vertical="center"/>
    </xf>
    <xf numFmtId="0" fontId="39" fillId="0" borderId="16" xfId="0" applyFont="1" applyBorder="1" applyAlignment="1">
      <alignment vertical="center"/>
    </xf>
    <xf numFmtId="0" fontId="39" fillId="0" borderId="17" xfId="0" applyFont="1" applyBorder="1" applyAlignment="1">
      <alignment vertical="center"/>
    </xf>
    <xf numFmtId="0" fontId="10" fillId="0" borderId="9" xfId="0" applyFont="1" applyFill="1" applyBorder="1" applyAlignment="1" applyProtection="1">
      <alignment horizontal="center" vertical="center" wrapText="1"/>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10" fillId="0" borderId="16" xfId="0" applyFont="1" applyBorder="1" applyAlignment="1"/>
    <xf numFmtId="0" fontId="10" fillId="0" borderId="17" xfId="0" applyFont="1" applyBorder="1" applyAlignment="1"/>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4" fillId="0" borderId="0" xfId="0" applyFont="1" applyBorder="1" applyAlignment="1">
      <alignment horizontal="center" vertical="center"/>
    </xf>
    <xf numFmtId="0" fontId="2" fillId="0" borderId="0" xfId="0" applyFont="1" applyBorder="1" applyAlignment="1">
      <alignment horizontal="center" vertical="center"/>
    </xf>
    <xf numFmtId="0" fontId="4" fillId="0" borderId="0" xfId="0" applyFont="1" applyBorder="1" applyAlignment="1">
      <alignment horizontal="left" vertical="center"/>
    </xf>
    <xf numFmtId="0" fontId="2" fillId="0" borderId="0" xfId="0" applyFont="1" applyBorder="1" applyAlignment="1">
      <alignment horizontal="left" vertical="center"/>
    </xf>
    <xf numFmtId="0" fontId="6" fillId="0" borderId="35" xfId="0" applyFont="1" applyBorder="1" applyAlignment="1" applyProtection="1">
      <alignment horizontal="left" vertical="center" wrapText="1"/>
    </xf>
    <xf numFmtId="0" fontId="6" fillId="0" borderId="3" xfId="0" applyFont="1" applyBorder="1" applyAlignment="1" applyProtection="1">
      <alignment horizontal="left" vertical="center" wrapText="1"/>
    </xf>
    <xf numFmtId="0" fontId="6" fillId="0" borderId="4" xfId="0" applyFont="1" applyBorder="1" applyAlignment="1" applyProtection="1">
      <alignment horizontal="left" vertical="center" wrapText="1"/>
    </xf>
    <xf numFmtId="0" fontId="0" fillId="0" borderId="0" xfId="0" applyBorder="1"/>
    <xf numFmtId="164" fontId="0" fillId="0" borderId="0" xfId="0" applyNumberFormat="1" applyBorder="1"/>
    <xf numFmtId="164" fontId="24" fillId="0" borderId="0" xfId="0" applyNumberFormat="1" applyFont="1" applyBorder="1"/>
    <xf numFmtId="0" fontId="42" fillId="0" borderId="0" xfId="0" applyFont="1" applyFill="1" applyBorder="1" applyAlignment="1">
      <alignment horizontal="center" vertical="center"/>
    </xf>
    <xf numFmtId="164" fontId="0" fillId="0" borderId="0" xfId="0" applyNumberFormat="1" applyBorder="1" applyAlignment="1"/>
    <xf numFmtId="164" fontId="19" fillId="0" borderId="0" xfId="0" applyNumberFormat="1" applyFont="1" applyBorder="1"/>
    <xf numFmtId="10" fontId="0" fillId="0" borderId="0" xfId="0" applyNumberFormat="1" applyBorder="1"/>
    <xf numFmtId="168" fontId="19" fillId="0" borderId="0" xfId="0" applyNumberFormat="1" applyFont="1" applyBorder="1"/>
  </cellXfs>
  <cellStyles count="6">
    <cellStyle name="Normal" xfId="0" builtinId="0"/>
    <cellStyle name="Normal 2" xfId="4"/>
    <cellStyle name="Normal_Plan1" xfId="3"/>
    <cellStyle name="Porcentagem" xfId="2" builtinId="5"/>
    <cellStyle name="Vírgula" xfId="1" builtinId="3"/>
    <cellStyle name="Vírgula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tabSelected="1" view="pageBreakPreview" zoomScale="110" zoomScaleNormal="100" zoomScaleSheetLayoutView="110" workbookViewId="0">
      <selection sqref="A1:D1"/>
    </sheetView>
  </sheetViews>
  <sheetFormatPr defaultRowHeight="15.75" x14ac:dyDescent="0.25"/>
  <cols>
    <col min="1" max="1" width="76.85546875" customWidth="1"/>
    <col min="2" max="2" width="20.140625" style="7" bestFit="1" customWidth="1"/>
    <col min="3" max="3" width="19.140625" style="123" bestFit="1" customWidth="1"/>
    <col min="4" max="4" width="10.7109375" style="64" customWidth="1"/>
    <col min="6" max="6" width="14.42578125" bestFit="1" customWidth="1"/>
  </cols>
  <sheetData>
    <row r="1" spans="1:4" s="174" customFormat="1" ht="44.25" customHeight="1" thickBot="1" x14ac:dyDescent="0.3">
      <c r="A1" s="404" t="s">
        <v>139</v>
      </c>
      <c r="B1" s="405"/>
      <c r="C1" s="405"/>
      <c r="D1" s="406"/>
    </row>
    <row r="2" spans="1:4" s="174" customFormat="1" ht="92.25" customHeight="1" thickBot="1" x14ac:dyDescent="0.4">
      <c r="A2" s="170" t="s">
        <v>47</v>
      </c>
      <c r="B2" s="171" t="s">
        <v>48</v>
      </c>
      <c r="C2" s="172" t="s">
        <v>143</v>
      </c>
      <c r="D2" s="173" t="s">
        <v>75</v>
      </c>
    </row>
    <row r="3" spans="1:4" ht="23.25" customHeight="1" thickBot="1" x14ac:dyDescent="0.4">
      <c r="A3" s="407"/>
      <c r="B3" s="408"/>
      <c r="C3" s="409"/>
      <c r="D3" s="410"/>
    </row>
    <row r="4" spans="1:4" ht="21.75" customHeight="1" thickBot="1" x14ac:dyDescent="0.35">
      <c r="A4" s="175" t="str">
        <f>'Canteiro Obra'!A1:K1</f>
        <v>Planilha Orçamentária - Canteiro Obra</v>
      </c>
      <c r="B4" s="61">
        <f>'Canteiro Obra'!J11</f>
        <v>0</v>
      </c>
      <c r="C4" s="120"/>
      <c r="D4" s="60" t="e">
        <f>B4/B24</f>
        <v>#DIV/0!</v>
      </c>
    </row>
    <row r="5" spans="1:4" ht="19.5" thickBot="1" x14ac:dyDescent="0.35">
      <c r="A5" s="175" t="str">
        <f>'Rua Ceará'!A1:K1</f>
        <v xml:space="preserve"> Planilha Orçamentária - Rua Ceará</v>
      </c>
      <c r="B5" s="61">
        <f>'Rua Ceará'!J31</f>
        <v>0</v>
      </c>
      <c r="C5" s="120">
        <f>'Rua Ceará'!H11</f>
        <v>3103.1</v>
      </c>
      <c r="D5" s="60" t="e">
        <f>B5/B24</f>
        <v>#DIV/0!</v>
      </c>
    </row>
    <row r="6" spans="1:4" ht="19.5" thickBot="1" x14ac:dyDescent="0.35">
      <c r="A6" s="175" t="str">
        <f>'Rua Rio de Janeiro'!A1:K1</f>
        <v>Planilha Orçamentária -  Rua Rio de Janeiro</v>
      </c>
      <c r="B6" s="61">
        <f>'Rua Rio de Janeiro'!J26</f>
        <v>0</v>
      </c>
      <c r="C6" s="120">
        <f>'Rua Rio de Janeiro'!H11</f>
        <v>1447.83</v>
      </c>
      <c r="D6" s="60" t="e">
        <f>B6/B24</f>
        <v>#DIV/0!</v>
      </c>
    </row>
    <row r="7" spans="1:4" ht="19.5" thickBot="1" x14ac:dyDescent="0.35">
      <c r="A7" s="175" t="str">
        <f>'Av.Benedito Sebe'!A1:K1</f>
        <v>Planilha Orçamentária -  Av. Benedito Sebe</v>
      </c>
      <c r="B7" s="61">
        <f>'Av.Benedito Sebe'!J32</f>
        <v>0</v>
      </c>
      <c r="C7" s="120">
        <f>'Av.Benedito Sebe'!H14</f>
        <v>3028.65</v>
      </c>
      <c r="D7" s="60" t="e">
        <f>B7/B24</f>
        <v>#DIV/0!</v>
      </c>
    </row>
    <row r="8" spans="1:4" ht="19.5" thickBot="1" x14ac:dyDescent="0.35">
      <c r="A8" s="175" t="str">
        <f>'Av.Gumercindo Teberga Alves'!A1:K1</f>
        <v>Planilha Prçamentária - Av. Gumercindo Teberga Alves</v>
      </c>
      <c r="B8" s="61">
        <f>'Av.Gumercindo Teberga Alves'!J32</f>
        <v>0</v>
      </c>
      <c r="C8" s="120">
        <f>'Av.Gumercindo Teberga Alves'!H14</f>
        <v>1079.42</v>
      </c>
      <c r="D8" s="60" t="e">
        <f>B8/B24</f>
        <v>#DIV/0!</v>
      </c>
    </row>
    <row r="9" spans="1:4" ht="19.5" thickBot="1" x14ac:dyDescent="0.35">
      <c r="A9" s="175" t="str">
        <f>'Rua João C. dos Santos'!A1:K1</f>
        <v>Planilha Orçamentária -  Rua João C. Santos</v>
      </c>
      <c r="B9" s="61">
        <f>'Rua João C. dos Santos'!J27</f>
        <v>0</v>
      </c>
      <c r="C9" s="120">
        <f>'Rua João C. dos Santos'!H10</f>
        <v>549.82000000000005</v>
      </c>
      <c r="D9" s="60" t="e">
        <f>B9/B24</f>
        <v>#DIV/0!</v>
      </c>
    </row>
    <row r="10" spans="1:4" ht="19.5" thickBot="1" x14ac:dyDescent="0.35">
      <c r="A10" s="175" t="str">
        <f>'Rua Geraldo V. Mendes'!A1:K1</f>
        <v>Planilha Orçamentária - Rua Geraldo V. Mendes</v>
      </c>
      <c r="B10" s="61">
        <f>'Rua Geraldo V. Mendes'!J27</f>
        <v>0</v>
      </c>
      <c r="C10" s="120">
        <f>'Rua Geraldo V. Mendes'!H10</f>
        <v>593.26</v>
      </c>
      <c r="D10" s="60" t="e">
        <f>B10/B24</f>
        <v>#DIV/0!</v>
      </c>
    </row>
    <row r="11" spans="1:4" ht="19.5" thickBot="1" x14ac:dyDescent="0.35">
      <c r="A11" s="175" t="str">
        <f>'Rua Orlando C. Castro'!A1:K1</f>
        <v>Planilha Orçamentária - Rua Orlando C. Castro</v>
      </c>
      <c r="B11" s="62">
        <f>'Rua Orlando C. Castro'!J27</f>
        <v>0</v>
      </c>
      <c r="C11" s="121">
        <f>'Rua Orlando C. Castro'!H10</f>
        <v>640.62</v>
      </c>
      <c r="D11" s="60" t="e">
        <f>B11/B24</f>
        <v>#DIV/0!</v>
      </c>
    </row>
    <row r="12" spans="1:4" ht="19.5" thickBot="1" x14ac:dyDescent="0.35">
      <c r="A12" s="175" t="str">
        <f>'Rua Jose V. do Carmo'!A1:K1</f>
        <v>Planilha Orçamentária - Rua Jose V. do Carmo</v>
      </c>
      <c r="B12" s="62">
        <f>'Rua Jose V. do Carmo'!J28</f>
        <v>0</v>
      </c>
      <c r="C12" s="121">
        <f>'Rua Jose V. do Carmo'!H10</f>
        <v>680.1</v>
      </c>
      <c r="D12" s="60" t="e">
        <f>B12/B24</f>
        <v>#DIV/0!</v>
      </c>
    </row>
    <row r="13" spans="1:4" ht="19.5" thickBot="1" x14ac:dyDescent="0.35">
      <c r="A13" s="175" t="str">
        <f>'AV. Juvenal Antunes de Proença'!A1:K1</f>
        <v xml:space="preserve"> Planilha Orçamentária - Avenida Juvenal Antunes de Proença</v>
      </c>
      <c r="B13" s="62">
        <f>'AV. Juvenal Antunes de Proença'!J33</f>
        <v>0</v>
      </c>
      <c r="C13" s="121">
        <f>'AV. Juvenal Antunes de Proença'!H14</f>
        <v>3557.37</v>
      </c>
      <c r="D13" s="60" t="e">
        <f>B13/B24</f>
        <v>#DIV/0!</v>
      </c>
    </row>
    <row r="14" spans="1:4" ht="19.5" thickBot="1" x14ac:dyDescent="0.35">
      <c r="A14" s="175" t="str">
        <f>'Rua Ivone Rodrigues'!A1:K1</f>
        <v>Planilha Orçamentária - Rua Ivone Rodrigues</v>
      </c>
      <c r="B14" s="62">
        <f>'Rua Ivone Rodrigues'!J24</f>
        <v>0</v>
      </c>
      <c r="C14" s="121">
        <f>'Rua Ivone Rodrigues'!H14</f>
        <v>315.87</v>
      </c>
      <c r="D14" s="60" t="e">
        <f>B14/B24</f>
        <v>#DIV/0!</v>
      </c>
    </row>
    <row r="15" spans="1:4" ht="19.5" thickBot="1" x14ac:dyDescent="0.35">
      <c r="A15" s="175" t="str">
        <f>'Rua José Maria Soarez'!A1:K1</f>
        <v>Planilha Orçamentária - Rua José Maria Soarez</v>
      </c>
      <c r="B15" s="61">
        <f>'Rua José Maria Soarez'!J28</f>
        <v>0</v>
      </c>
      <c r="C15" s="120">
        <f>'Rua José Maria Soarez'!H10</f>
        <v>601.84</v>
      </c>
      <c r="D15" s="60" t="e">
        <f>B15/B24</f>
        <v>#DIV/0!</v>
      </c>
    </row>
    <row r="16" spans="1:4" ht="19.5" thickBot="1" x14ac:dyDescent="0.35">
      <c r="A16" s="175" t="str">
        <f>'Rua Sebastião Lucio Rodrigues'!A1:K1</f>
        <v>Planilha Orçamentária - Rua Sebastião Lucio Rodrigues</v>
      </c>
      <c r="B16" s="61">
        <f>'Rua Sebastião Lucio Rodrigues'!J27</f>
        <v>0</v>
      </c>
      <c r="C16" s="120">
        <f>'Rua Sebastião Lucio Rodrigues'!H10</f>
        <v>700.5</v>
      </c>
      <c r="D16" s="60" t="e">
        <f>B16/B24</f>
        <v>#DIV/0!</v>
      </c>
    </row>
    <row r="17" spans="1:6" ht="19.5" thickBot="1" x14ac:dyDescent="0.35">
      <c r="A17" s="175" t="str">
        <f>'AV. Maria Amélia de Castro'!A1:K1</f>
        <v>Planilha Orçamentária - Avenida Maria Amélia de Castro</v>
      </c>
      <c r="B17" s="61">
        <f>'AV. Maria Amélia de Castro'!J31</f>
        <v>0</v>
      </c>
      <c r="C17" s="120">
        <f>'AV. Maria Amélia de Castro'!H14</f>
        <v>494.06</v>
      </c>
      <c r="D17" s="60" t="e">
        <f>B17/B24</f>
        <v>#DIV/0!</v>
      </c>
    </row>
    <row r="18" spans="1:6" ht="19.5" thickBot="1" x14ac:dyDescent="0.35">
      <c r="A18" s="175" t="str">
        <f>'AV. Antonio Felipe dos S. Filho'!A1:K1</f>
        <v>Planilha Orçamentária - Avenida Antônio Felipe dos Santos Filho</v>
      </c>
      <c r="B18" s="61">
        <f>'AV. Antonio Felipe dos S. Filho'!J32</f>
        <v>0</v>
      </c>
      <c r="C18" s="120">
        <f>'AV. Antonio Felipe dos S. Filho'!H14</f>
        <v>3987.62</v>
      </c>
      <c r="D18" s="60" t="e">
        <f>B18/B24</f>
        <v>#DIV/0!</v>
      </c>
    </row>
    <row r="19" spans="1:6" ht="19.5" thickBot="1" x14ac:dyDescent="0.35">
      <c r="A19" s="175" t="str">
        <f>'AV. Zulmira Proença'!A1:K1</f>
        <v>Planilha Orçamentária - Avenida Zulmira Proença e Rua Silveiras</v>
      </c>
      <c r="B19" s="62">
        <f>'AV. Zulmira Proença'!J32</f>
        <v>0</v>
      </c>
      <c r="C19" s="121">
        <f>'AV. Zulmira Proença'!H14</f>
        <v>2793.33</v>
      </c>
      <c r="D19" s="60" t="e">
        <f>B19/B24</f>
        <v>#DIV/0!</v>
      </c>
    </row>
    <row r="20" spans="1:6" ht="19.5" thickBot="1" x14ac:dyDescent="0.35">
      <c r="A20" s="175" t="str">
        <f>'Rua Francisco Teodoro d Santos'!A1:K1</f>
        <v>Planilha Orçamentária - Rua Francisco Teodoro dos Santos</v>
      </c>
      <c r="B20" s="62">
        <f>'Rua Francisco Teodoro d Santos'!J28</f>
        <v>0</v>
      </c>
      <c r="C20" s="121">
        <f>'Rua Francisco Teodoro d Santos'!H10</f>
        <v>199.95</v>
      </c>
      <c r="D20" s="60" t="e">
        <f>B20/B24</f>
        <v>#DIV/0!</v>
      </c>
    </row>
    <row r="21" spans="1:6" ht="26.25" customHeight="1" thickBot="1" x14ac:dyDescent="0.35">
      <c r="A21" s="175" t="str">
        <f>'Rua Elzira Ap. d Lima Val Verde'!A1:K1</f>
        <v>Planilha Orçamentária - Rua Elzira Aparecida de Lima Val Verde Chad</v>
      </c>
      <c r="B21" s="62">
        <f>'Rua Elzira Ap. d Lima Val Verde'!J26</f>
        <v>0</v>
      </c>
      <c r="C21" s="121">
        <f>'Rua Elzira Ap. d Lima Val Verde'!H10</f>
        <v>3909.37</v>
      </c>
      <c r="D21" s="60" t="e">
        <f>B21/B24</f>
        <v>#DIV/0!</v>
      </c>
      <c r="E21" s="119">
        <f>SUM(C5:C21)+C22</f>
        <v>28346.25</v>
      </c>
      <c r="F21" s="119">
        <f>E21*39</f>
        <v>1105503.75</v>
      </c>
    </row>
    <row r="22" spans="1:6" ht="19.5" thickBot="1" x14ac:dyDescent="0.35">
      <c r="A22" s="175" t="str">
        <f>'Av Espirito Santo'!A1:K1</f>
        <v>Planilha Orçamentária - Avenida Espírito Santo</v>
      </c>
      <c r="B22" s="62">
        <f>'Av Espirito Santo'!J17</f>
        <v>0</v>
      </c>
      <c r="C22" s="121">
        <f>'Av Espirito Santo'!H12</f>
        <v>663.54</v>
      </c>
      <c r="D22" s="60" t="e">
        <f>B22/B24</f>
        <v>#DIV/0!</v>
      </c>
      <c r="E22" s="119">
        <f>SUM(E21:E21)</f>
        <v>28346.25</v>
      </c>
    </row>
    <row r="23" spans="1:6" ht="8.25" customHeight="1" thickBot="1" x14ac:dyDescent="0.4">
      <c r="A23" s="354"/>
      <c r="B23" s="355"/>
      <c r="C23" s="355"/>
      <c r="D23" s="344"/>
    </row>
    <row r="24" spans="1:6" ht="19.5" thickBot="1" x14ac:dyDescent="0.35">
      <c r="A24" s="63" t="s">
        <v>59</v>
      </c>
      <c r="B24" s="371">
        <f>SUM(B4:B22)</f>
        <v>0</v>
      </c>
      <c r="C24" s="382">
        <f>SUM(C4:C22)</f>
        <v>28346.25</v>
      </c>
      <c r="D24" s="118" t="e">
        <f>SUM(D4:D22)</f>
        <v>#DIV/0!</v>
      </c>
      <c r="F24" s="7">
        <f>B24*0.87</f>
        <v>0</v>
      </c>
    </row>
    <row r="25" spans="1:6" x14ac:dyDescent="0.25">
      <c r="A25" s="380"/>
      <c r="B25" s="44"/>
      <c r="C25" s="122"/>
      <c r="D25" s="383"/>
    </row>
    <row r="26" spans="1:6" ht="15.75" customHeight="1" x14ac:dyDescent="0.25">
      <c r="B26" s="413" t="s">
        <v>167</v>
      </c>
      <c r="C26" s="413"/>
      <c r="D26" s="413"/>
    </row>
    <row r="27" spans="1:6" x14ac:dyDescent="0.25">
      <c r="A27" s="533"/>
      <c r="B27" s="534"/>
      <c r="C27" s="400"/>
      <c r="D27" s="535"/>
    </row>
    <row r="28" spans="1:6" x14ac:dyDescent="0.25">
      <c r="A28" s="533"/>
      <c r="B28" s="534"/>
      <c r="C28" s="400"/>
      <c r="D28" s="535"/>
      <c r="F28" s="7" t="e">
        <f>B24+#REF!</f>
        <v>#REF!</v>
      </c>
    </row>
    <row r="29" spans="1:6" x14ac:dyDescent="0.25">
      <c r="A29" s="533"/>
      <c r="B29" s="534"/>
      <c r="C29" s="400"/>
      <c r="D29" s="535"/>
      <c r="F29" t="e">
        <f>F28*0.87</f>
        <v>#REF!</v>
      </c>
    </row>
    <row r="30" spans="1:6" x14ac:dyDescent="0.25">
      <c r="A30" s="533"/>
      <c r="B30" s="534"/>
      <c r="C30" s="400"/>
      <c r="D30" s="535"/>
    </row>
    <row r="31" spans="1:6" ht="15" x14ac:dyDescent="0.25">
      <c r="A31" s="403"/>
      <c r="B31" s="403"/>
      <c r="C31" s="402"/>
      <c r="D31" s="533"/>
    </row>
    <row r="32" spans="1:6" ht="15" x14ac:dyDescent="0.25">
      <c r="A32" s="403"/>
      <c r="B32" s="403"/>
      <c r="C32" s="401"/>
      <c r="D32" s="536"/>
    </row>
    <row r="33" spans="1:4" ht="15" x14ac:dyDescent="0.25">
      <c r="A33" s="403"/>
      <c r="B33" s="403"/>
      <c r="C33" s="401"/>
      <c r="D33" s="401"/>
    </row>
    <row r="34" spans="1:4" ht="15" x14ac:dyDescent="0.25">
      <c r="A34" s="362"/>
      <c r="B34" s="360"/>
      <c r="C34" s="401"/>
      <c r="D34" s="401"/>
    </row>
    <row r="35" spans="1:4" ht="15" x14ac:dyDescent="0.25">
      <c r="A35" s="362"/>
      <c r="B35" s="360"/>
      <c r="C35" s="401"/>
      <c r="D35" s="401"/>
    </row>
    <row r="36" spans="1:4" ht="15" x14ac:dyDescent="0.25">
      <c r="A36" s="362"/>
      <c r="B36" s="360"/>
      <c r="C36" s="401"/>
      <c r="D36" s="401"/>
    </row>
    <row r="37" spans="1:4" ht="15" x14ac:dyDescent="0.25">
      <c r="A37" s="362"/>
      <c r="B37" s="360"/>
      <c r="C37" s="401"/>
      <c r="D37" s="401"/>
    </row>
    <row r="38" spans="1:4" ht="15" x14ac:dyDescent="0.25">
      <c r="A38" s="403"/>
      <c r="B38" s="403"/>
      <c r="C38" s="372"/>
      <c r="D38" s="372"/>
    </row>
    <row r="39" spans="1:4" ht="15" x14ac:dyDescent="0.25">
      <c r="A39" s="403"/>
      <c r="B39" s="403"/>
      <c r="C39" s="372"/>
      <c r="D39" s="372"/>
    </row>
    <row r="40" spans="1:4" ht="15" x14ac:dyDescent="0.25">
      <c r="A40" s="414"/>
      <c r="B40" s="414"/>
      <c r="C40" s="373"/>
      <c r="D40" s="373"/>
    </row>
    <row r="41" spans="1:4" ht="15" x14ac:dyDescent="0.25">
      <c r="A41" s="6"/>
      <c r="B41" s="243"/>
      <c r="C41" s="244"/>
      <c r="D41" s="241"/>
    </row>
    <row r="42" spans="1:4" ht="15" x14ac:dyDescent="0.25">
      <c r="A42" s="6"/>
      <c r="B42" s="243"/>
      <c r="C42" s="244"/>
      <c r="D42" s="241"/>
    </row>
    <row r="43" spans="1:4" ht="15" x14ac:dyDescent="0.25">
      <c r="A43" s="6"/>
      <c r="B43" s="243"/>
      <c r="C43" s="244"/>
      <c r="D43" s="241"/>
    </row>
    <row r="44" spans="1:4" ht="15" x14ac:dyDescent="0.25">
      <c r="A44" s="6"/>
      <c r="B44" s="243"/>
      <c r="C44" s="244"/>
      <c r="D44" s="241"/>
    </row>
    <row r="45" spans="1:4" ht="15" x14ac:dyDescent="0.25">
      <c r="A45" s="403"/>
      <c r="B45" s="403"/>
      <c r="C45" s="372"/>
      <c r="D45" s="372"/>
    </row>
    <row r="46" spans="1:4" ht="15" x14ac:dyDescent="0.25">
      <c r="A46" s="403"/>
      <c r="B46" s="403"/>
      <c r="C46" s="372"/>
      <c r="D46" s="372"/>
    </row>
    <row r="47" spans="1:4" ht="15" x14ac:dyDescent="0.25">
      <c r="A47" s="403"/>
      <c r="B47" s="403"/>
      <c r="C47" s="372"/>
      <c r="D47" s="372"/>
    </row>
  </sheetData>
  <mergeCells count="12">
    <mergeCell ref="A46:B46"/>
    <mergeCell ref="A47:B47"/>
    <mergeCell ref="A1:D1"/>
    <mergeCell ref="A3:D3"/>
    <mergeCell ref="A31:B31"/>
    <mergeCell ref="A32:B32"/>
    <mergeCell ref="B26:D26"/>
    <mergeCell ref="A33:B33"/>
    <mergeCell ref="A38:B38"/>
    <mergeCell ref="A39:B39"/>
    <mergeCell ref="A40:B40"/>
    <mergeCell ref="A45:B45"/>
  </mergeCells>
  <printOptions horizontalCentered="1"/>
  <pageMargins left="0.39370078740157483" right="0.39370078740157483" top="1.1811023622047245" bottom="1.1811023622047245" header="0.31496062992125984" footer="0.31496062992125984"/>
  <pageSetup paperSize="9" scale="75"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rowBreaks count="1" manualBreakCount="1">
    <brk id="47" max="3" man="1"/>
  </rowBreaks>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view="pageBreakPreview" zoomScaleNormal="84" zoomScaleSheetLayoutView="100" workbookViewId="0">
      <selection sqref="A1:K1"/>
    </sheetView>
  </sheetViews>
  <sheetFormatPr defaultRowHeight="15" x14ac:dyDescent="0.2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3.42578125" style="250" customWidth="1"/>
    <col min="11" max="11" width="9.140625" style="251"/>
    <col min="12" max="16384" width="9.140625" style="190"/>
  </cols>
  <sheetData>
    <row r="1" spans="1:11" ht="36" customHeight="1" thickBot="1" x14ac:dyDescent="0.3">
      <c r="A1" s="516" t="s">
        <v>151</v>
      </c>
      <c r="B1" s="517"/>
      <c r="C1" s="517"/>
      <c r="D1" s="517"/>
      <c r="E1" s="517"/>
      <c r="F1" s="517"/>
      <c r="G1" s="517"/>
      <c r="H1" s="517"/>
      <c r="I1" s="517"/>
      <c r="J1" s="517"/>
      <c r="K1" s="518"/>
    </row>
    <row r="2" spans="1:11" ht="43.5" customHeight="1" x14ac:dyDescent="0.25">
      <c r="A2" s="494" t="s">
        <v>20</v>
      </c>
      <c r="B2" s="476" t="s">
        <v>21</v>
      </c>
      <c r="C2" s="476" t="s">
        <v>6</v>
      </c>
      <c r="D2" s="476" t="s">
        <v>27</v>
      </c>
      <c r="E2" s="479" t="s">
        <v>22</v>
      </c>
      <c r="F2" s="479" t="s">
        <v>65</v>
      </c>
      <c r="G2" s="265" t="s">
        <v>74</v>
      </c>
      <c r="H2" s="479" t="s">
        <v>23</v>
      </c>
      <c r="I2" s="485" t="s">
        <v>24</v>
      </c>
      <c r="J2" s="488" t="s">
        <v>40</v>
      </c>
      <c r="K2" s="491" t="s">
        <v>25</v>
      </c>
    </row>
    <row r="3" spans="1:11" ht="29.25" customHeight="1" x14ac:dyDescent="0.25">
      <c r="A3" s="495"/>
      <c r="B3" s="477"/>
      <c r="C3" s="477"/>
      <c r="D3" s="477"/>
      <c r="E3" s="480"/>
      <c r="F3" s="480"/>
      <c r="G3" s="116">
        <v>20.09</v>
      </c>
      <c r="H3" s="480"/>
      <c r="I3" s="486"/>
      <c r="J3" s="489"/>
      <c r="K3" s="492"/>
    </row>
    <row r="4" spans="1:11" ht="1.5" hidden="1" customHeight="1" x14ac:dyDescent="0.25">
      <c r="A4" s="496"/>
      <c r="B4" s="478"/>
      <c r="C4" s="478"/>
      <c r="D4" s="478"/>
      <c r="E4" s="481"/>
      <c r="F4" s="481"/>
      <c r="G4" s="195">
        <f>(G3/100)+1</f>
        <v>1.2009000000000001</v>
      </c>
      <c r="H4" s="481"/>
      <c r="I4" s="487"/>
      <c r="J4" s="490"/>
      <c r="K4" s="493"/>
    </row>
    <row r="5" spans="1:11" x14ac:dyDescent="0.25">
      <c r="A5" s="79" t="s">
        <v>84</v>
      </c>
      <c r="B5" s="266"/>
      <c r="C5" s="267"/>
      <c r="D5" s="295" t="s">
        <v>13</v>
      </c>
      <c r="E5" s="83"/>
      <c r="F5" s="83"/>
      <c r="G5" s="83"/>
      <c r="H5" s="268"/>
      <c r="I5" s="269"/>
      <c r="J5" s="84"/>
      <c r="K5" s="85"/>
    </row>
    <row r="6" spans="1:11" x14ac:dyDescent="0.25">
      <c r="A6" s="282" t="s">
        <v>85</v>
      </c>
      <c r="B6" s="275"/>
      <c r="C6" s="280"/>
      <c r="D6" s="91" t="s">
        <v>78</v>
      </c>
      <c r="E6" s="283"/>
      <c r="F6" s="272"/>
      <c r="G6" s="272"/>
      <c r="H6" s="272"/>
      <c r="I6" s="276"/>
      <c r="J6" s="276"/>
      <c r="K6" s="87"/>
    </row>
    <row r="7" spans="1:11" ht="26.25" thickBot="1" x14ac:dyDescent="0.3">
      <c r="A7" s="222" t="s">
        <v>31</v>
      </c>
      <c r="B7" s="125" t="s">
        <v>100</v>
      </c>
      <c r="C7" s="200" t="s">
        <v>1</v>
      </c>
      <c r="D7" s="296" t="e">
        <f>LOOKUP(C7,#REF!,#REF!)</f>
        <v>#REF!</v>
      </c>
      <c r="E7" s="198" t="e">
        <f>LOOKUP(C7,#REF!,#REF!)</f>
        <v>#REF!</v>
      </c>
      <c r="F7" s="335"/>
      <c r="G7" s="138">
        <f>F7*G4</f>
        <v>0</v>
      </c>
      <c r="H7" s="202">
        <v>680.1</v>
      </c>
      <c r="I7" s="139">
        <f>G7*H7</f>
        <v>0</v>
      </c>
      <c r="J7" s="212"/>
      <c r="K7" s="132" t="e">
        <f>I7/J27</f>
        <v>#DIV/0!</v>
      </c>
    </row>
    <row r="8" spans="1:11" ht="15.75" thickBot="1" x14ac:dyDescent="0.3">
      <c r="A8" s="92"/>
      <c r="B8" s="285"/>
      <c r="C8" s="285"/>
      <c r="D8" s="286"/>
      <c r="E8" s="287"/>
      <c r="F8" s="274"/>
      <c r="G8" s="274"/>
      <c r="H8" s="58" t="s">
        <v>73</v>
      </c>
      <c r="I8" s="46"/>
      <c r="J8" s="279">
        <f>SUM(I7:I7)</f>
        <v>0</v>
      </c>
      <c r="K8" s="76" t="e">
        <f>J8/J27</f>
        <v>#DIV/0!</v>
      </c>
    </row>
    <row r="9" spans="1:11" x14ac:dyDescent="0.25">
      <c r="A9" s="282" t="s">
        <v>86</v>
      </c>
      <c r="B9" s="275"/>
      <c r="C9" s="280"/>
      <c r="D9" s="91" t="s">
        <v>15</v>
      </c>
      <c r="E9" s="280"/>
      <c r="F9" s="272"/>
      <c r="G9" s="272"/>
      <c r="H9" s="272"/>
      <c r="I9" s="276"/>
      <c r="J9" s="276"/>
      <c r="K9" s="87"/>
    </row>
    <row r="10" spans="1:11" ht="38.25" x14ac:dyDescent="0.25">
      <c r="A10" s="222" t="s">
        <v>33</v>
      </c>
      <c r="B10" s="125" t="s">
        <v>26</v>
      </c>
      <c r="C10" s="200" t="s">
        <v>3</v>
      </c>
      <c r="D10" s="296" t="e">
        <f>LOOKUP(C10,#REF!,#REF!)</f>
        <v>#REF!</v>
      </c>
      <c r="E10" s="198" t="e">
        <f>LOOKUP(C10,#REF!,#REF!)</f>
        <v>#REF!</v>
      </c>
      <c r="F10" s="335"/>
      <c r="G10" s="138">
        <f>F10*G4</f>
        <v>0</v>
      </c>
      <c r="H10" s="202">
        <v>640.62</v>
      </c>
      <c r="I10" s="139">
        <f>G10*H10</f>
        <v>0</v>
      </c>
      <c r="J10" s="212"/>
      <c r="K10" s="132" t="e">
        <f>I10/J27</f>
        <v>#DIV/0!</v>
      </c>
    </row>
    <row r="11" spans="1:11" ht="76.5" x14ac:dyDescent="0.25">
      <c r="A11" s="222" t="s">
        <v>34</v>
      </c>
      <c r="B11" s="135" t="s">
        <v>101</v>
      </c>
      <c r="C11" s="205">
        <v>94275</v>
      </c>
      <c r="D11" s="227" t="s">
        <v>79</v>
      </c>
      <c r="E11" s="200" t="s">
        <v>0</v>
      </c>
      <c r="F11" s="202"/>
      <c r="G11" s="138">
        <f>F11*G4</f>
        <v>0</v>
      </c>
      <c r="H11" s="202">
        <v>16</v>
      </c>
      <c r="I11" s="139">
        <f>G11*H11</f>
        <v>0</v>
      </c>
      <c r="J11" s="212"/>
      <c r="K11" s="132" t="e">
        <f>I11/J27</f>
        <v>#DIV/0!</v>
      </c>
    </row>
    <row r="12" spans="1:11" ht="26.25" thickBot="1" x14ac:dyDescent="0.3">
      <c r="A12" s="222" t="s">
        <v>35</v>
      </c>
      <c r="B12" s="125" t="s">
        <v>100</v>
      </c>
      <c r="C12" s="200" t="s">
        <v>2</v>
      </c>
      <c r="D12" s="296" t="e">
        <f>LOOKUP(C12,#REF!,#REF!)</f>
        <v>#REF!</v>
      </c>
      <c r="E12" s="198" t="e">
        <f>LOOKUP(C12,#REF!,#REF!)</f>
        <v>#REF!</v>
      </c>
      <c r="F12" s="335"/>
      <c r="G12" s="138">
        <f>F12*G4</f>
        <v>0</v>
      </c>
      <c r="H12" s="202">
        <f>H11*0.3*0.11</f>
        <v>0.52800000000000002</v>
      </c>
      <c r="I12" s="139">
        <f>G12*H12</f>
        <v>0</v>
      </c>
      <c r="J12" s="212"/>
      <c r="K12" s="132" t="e">
        <f>I12/J27</f>
        <v>#DIV/0!</v>
      </c>
    </row>
    <row r="13" spans="1:11" ht="15.75" thickBot="1" x14ac:dyDescent="0.3">
      <c r="A13" s="92"/>
      <c r="B13" s="285"/>
      <c r="C13" s="285"/>
      <c r="D13" s="286"/>
      <c r="E13" s="287"/>
      <c r="F13" s="274"/>
      <c r="G13" s="274"/>
      <c r="H13" s="58" t="s">
        <v>61</v>
      </c>
      <c r="I13" s="46"/>
      <c r="J13" s="279">
        <f>SUM(I10:I12)</f>
        <v>0</v>
      </c>
      <c r="K13" s="76" t="e">
        <f>J13/J27</f>
        <v>#DIV/0!</v>
      </c>
    </row>
    <row r="14" spans="1:11" x14ac:dyDescent="0.25">
      <c r="A14" s="282" t="s">
        <v>87</v>
      </c>
      <c r="B14" s="275"/>
      <c r="C14" s="280"/>
      <c r="D14" s="289" t="s">
        <v>115</v>
      </c>
      <c r="E14" s="280"/>
      <c r="F14" s="272"/>
      <c r="G14" s="272"/>
      <c r="H14" s="272"/>
      <c r="I14" s="276"/>
      <c r="J14" s="276"/>
      <c r="K14" s="87"/>
    </row>
    <row r="15" spans="1:11" ht="25.5" x14ac:dyDescent="0.25">
      <c r="A15" s="222" t="s">
        <v>37</v>
      </c>
      <c r="B15" s="135" t="s">
        <v>101</v>
      </c>
      <c r="C15" s="200">
        <v>72947</v>
      </c>
      <c r="D15" s="201" t="s">
        <v>69</v>
      </c>
      <c r="E15" s="200" t="s">
        <v>9</v>
      </c>
      <c r="F15" s="202"/>
      <c r="G15" s="138">
        <f>F15*G4</f>
        <v>0</v>
      </c>
      <c r="H15" s="202">
        <v>25.04</v>
      </c>
      <c r="I15" s="139">
        <f>G15*H15</f>
        <v>0</v>
      </c>
      <c r="J15" s="212"/>
      <c r="K15" s="132" t="e">
        <f>I15/J27</f>
        <v>#DIV/0!</v>
      </c>
    </row>
    <row r="16" spans="1:11" ht="25.5" x14ac:dyDescent="0.25">
      <c r="A16" s="222" t="s">
        <v>38</v>
      </c>
      <c r="B16" s="125" t="s">
        <v>100</v>
      </c>
      <c r="C16" s="200" t="s">
        <v>11</v>
      </c>
      <c r="D16" s="296" t="e">
        <f>LOOKUP(C16,#REF!,#REF!)</f>
        <v>#REF!</v>
      </c>
      <c r="E16" s="198" t="e">
        <f>LOOKUP(C16,#REF!,#REF!)</f>
        <v>#REF!</v>
      </c>
      <c r="F16" s="335"/>
      <c r="G16" s="138">
        <f>F16*G4</f>
        <v>0</v>
      </c>
      <c r="H16" s="202">
        <f>0.32+0.32</f>
        <v>0.64</v>
      </c>
      <c r="I16" s="139">
        <f t="shared" ref="I16:I25" si="0">G16*H16</f>
        <v>0</v>
      </c>
      <c r="J16" s="212"/>
      <c r="K16" s="132" t="e">
        <f>I16/J27</f>
        <v>#DIV/0!</v>
      </c>
    </row>
    <row r="17" spans="1:14" x14ac:dyDescent="0.25">
      <c r="A17" s="222" t="s">
        <v>39</v>
      </c>
      <c r="B17" s="136" t="s">
        <v>100</v>
      </c>
      <c r="C17" s="213" t="s">
        <v>19</v>
      </c>
      <c r="D17" s="296" t="e">
        <f>LOOKUP(C17,#REF!,#REF!)</f>
        <v>#REF!</v>
      </c>
      <c r="E17" s="198" t="e">
        <f>LOOKUP(C17,#REF!,#REF!)</f>
        <v>#REF!</v>
      </c>
      <c r="F17" s="335"/>
      <c r="G17" s="138">
        <f>F17*G4</f>
        <v>0</v>
      </c>
      <c r="H17" s="202">
        <f>3*3</f>
        <v>9</v>
      </c>
      <c r="I17" s="139">
        <f t="shared" si="0"/>
        <v>0</v>
      </c>
      <c r="J17" s="212"/>
      <c r="K17" s="132" t="e">
        <f>I17/J27</f>
        <v>#DIV/0!</v>
      </c>
    </row>
    <row r="18" spans="1:14" ht="25.5" x14ac:dyDescent="0.25">
      <c r="A18" s="222" t="s">
        <v>110</v>
      </c>
      <c r="B18" s="136" t="s">
        <v>100</v>
      </c>
      <c r="C18" s="213" t="s">
        <v>95</v>
      </c>
      <c r="D18" s="296" t="e">
        <f>LOOKUP(C18,#REF!,#REF!)</f>
        <v>#REF!</v>
      </c>
      <c r="E18" s="198" t="e">
        <f>LOOKUP(C18,#REF!,#REF!)</f>
        <v>#REF!</v>
      </c>
      <c r="F18" s="335"/>
      <c r="G18" s="138">
        <f>F18*G4</f>
        <v>0</v>
      </c>
      <c r="H18" s="202">
        <f>3*0.5</f>
        <v>1.5</v>
      </c>
      <c r="I18" s="139">
        <f t="shared" si="0"/>
        <v>0</v>
      </c>
      <c r="J18" s="212"/>
      <c r="K18" s="132" t="e">
        <f>I18/J27</f>
        <v>#DIV/0!</v>
      </c>
    </row>
    <row r="19" spans="1:14" s="6" customFormat="1" ht="25.5" x14ac:dyDescent="0.25">
      <c r="A19" s="222" t="s">
        <v>111</v>
      </c>
      <c r="B19" s="135" t="s">
        <v>101</v>
      </c>
      <c r="C19" s="213" t="s">
        <v>105</v>
      </c>
      <c r="D19" s="214" t="s">
        <v>57</v>
      </c>
      <c r="E19" s="218" t="s">
        <v>12</v>
      </c>
      <c r="F19" s="202"/>
      <c r="G19" s="138">
        <f>F19*G4</f>
        <v>0</v>
      </c>
      <c r="H19" s="202">
        <v>2</v>
      </c>
      <c r="I19" s="139">
        <f t="shared" si="0"/>
        <v>0</v>
      </c>
      <c r="J19" s="212"/>
      <c r="K19" s="132" t="e">
        <f>I19/J27</f>
        <v>#DIV/0!</v>
      </c>
      <c r="N19" s="6">
        <v>4</v>
      </c>
    </row>
    <row r="20" spans="1:14" s="6" customFormat="1" ht="30" customHeight="1" x14ac:dyDescent="0.25">
      <c r="A20" s="222" t="s">
        <v>112</v>
      </c>
      <c r="B20" s="125" t="s">
        <v>100</v>
      </c>
      <c r="C20" s="200" t="s">
        <v>10</v>
      </c>
      <c r="D20" s="201" t="s">
        <v>58</v>
      </c>
      <c r="E20" s="200" t="s">
        <v>9</v>
      </c>
      <c r="F20" s="202"/>
      <c r="G20" s="138">
        <f>F20*G4</f>
        <v>0</v>
      </c>
      <c r="H20" s="202">
        <v>37.22</v>
      </c>
      <c r="I20" s="139">
        <f t="shared" si="0"/>
        <v>0</v>
      </c>
      <c r="J20" s="212"/>
      <c r="K20" s="132" t="e">
        <f>I20/J27</f>
        <v>#DIV/0!</v>
      </c>
    </row>
    <row r="21" spans="1:14" s="6" customFormat="1" ht="30" customHeight="1" x14ac:dyDescent="0.25">
      <c r="A21" s="36" t="s">
        <v>113</v>
      </c>
      <c r="B21" s="125" t="s">
        <v>100</v>
      </c>
      <c r="C21" s="128" t="s">
        <v>96</v>
      </c>
      <c r="D21" s="201" t="e">
        <f>LOOKUP(C21,#REF!,#REF!)</f>
        <v>#REF!</v>
      </c>
      <c r="E21" s="200" t="e">
        <f>LOOKUP(C21,#REF!,#REF!)</f>
        <v>#REF!</v>
      </c>
      <c r="F21" s="202"/>
      <c r="G21" s="138">
        <f>F21*$G$4</f>
        <v>0</v>
      </c>
      <c r="H21" s="353">
        <f>1.13*N19</f>
        <v>4.5199999999999996</v>
      </c>
      <c r="I21" s="139">
        <f t="shared" si="0"/>
        <v>0</v>
      </c>
      <c r="J21" s="212"/>
      <c r="K21" s="132" t="e">
        <f>I21/$J$27</f>
        <v>#DIV/0!</v>
      </c>
    </row>
    <row r="22" spans="1:14" s="6" customFormat="1" ht="38.25" x14ac:dyDescent="0.25">
      <c r="A22" s="36" t="s">
        <v>114</v>
      </c>
      <c r="B22" s="125" t="s">
        <v>100</v>
      </c>
      <c r="C22" s="128" t="s">
        <v>97</v>
      </c>
      <c r="D22" s="201" t="e">
        <f>LOOKUP(C22,#REF!,#REF!)</f>
        <v>#REF!</v>
      </c>
      <c r="E22" s="200" t="e">
        <f>LOOKUP(C22,#REF!,#REF!)</f>
        <v>#REF!</v>
      </c>
      <c r="F22" s="202"/>
      <c r="G22" s="138">
        <f>F22*$G$4</f>
        <v>0</v>
      </c>
      <c r="H22" s="353">
        <f>1.13*N19</f>
        <v>4.5199999999999996</v>
      </c>
      <c r="I22" s="139">
        <f t="shared" si="0"/>
        <v>0</v>
      </c>
      <c r="J22" s="212"/>
      <c r="K22" s="132" t="e">
        <f>I22/$J$27</f>
        <v>#DIV/0!</v>
      </c>
    </row>
    <row r="23" spans="1:14" s="6" customFormat="1" ht="30" customHeight="1" x14ac:dyDescent="0.25">
      <c r="A23" s="36" t="s">
        <v>122</v>
      </c>
      <c r="B23" s="125" t="s">
        <v>100</v>
      </c>
      <c r="C23" s="128" t="s">
        <v>94</v>
      </c>
      <c r="D23" s="201" t="e">
        <f>LOOKUP(C23,#REF!,#REF!)</f>
        <v>#REF!</v>
      </c>
      <c r="E23" s="200" t="e">
        <f>LOOKUP(C23,#REF!,#REF!)</f>
        <v>#REF!</v>
      </c>
      <c r="F23" s="202"/>
      <c r="G23" s="138">
        <f>F23*$G$4</f>
        <v>0</v>
      </c>
      <c r="H23" s="353">
        <f>0.26*N19</f>
        <v>1.04</v>
      </c>
      <c r="I23" s="139">
        <f t="shared" si="0"/>
        <v>0</v>
      </c>
      <c r="J23" s="212"/>
      <c r="K23" s="132" t="e">
        <f>I23/$J$27</f>
        <v>#DIV/0!</v>
      </c>
    </row>
    <row r="24" spans="1:14" s="6" customFormat="1" ht="30" customHeight="1" x14ac:dyDescent="0.25">
      <c r="A24" s="36" t="s">
        <v>123</v>
      </c>
      <c r="B24" s="125" t="s">
        <v>100</v>
      </c>
      <c r="C24" s="128" t="s">
        <v>92</v>
      </c>
      <c r="D24" s="201" t="e">
        <f>LOOKUP(C24,#REF!,#REF!)</f>
        <v>#REF!</v>
      </c>
      <c r="E24" s="200" t="e">
        <f>LOOKUP(C24,#REF!,#REF!)</f>
        <v>#REF!</v>
      </c>
      <c r="F24" s="202"/>
      <c r="G24" s="138">
        <f>F24*$G$4</f>
        <v>0</v>
      </c>
      <c r="H24" s="353">
        <f>0.97*N19</f>
        <v>3.88</v>
      </c>
      <c r="I24" s="139">
        <f>G24*H24</f>
        <v>0</v>
      </c>
      <c r="J24" s="212"/>
      <c r="K24" s="132" t="e">
        <f>I24/$J$27</f>
        <v>#DIV/0!</v>
      </c>
    </row>
    <row r="25" spans="1:14" s="6" customFormat="1" ht="30" customHeight="1" thickBot="1" x14ac:dyDescent="0.3">
      <c r="A25" s="36" t="s">
        <v>124</v>
      </c>
      <c r="B25" s="125" t="s">
        <v>100</v>
      </c>
      <c r="C25" s="128" t="s">
        <v>93</v>
      </c>
      <c r="D25" s="201" t="e">
        <f>LOOKUP(C25,#REF!,#REF!)</f>
        <v>#REF!</v>
      </c>
      <c r="E25" s="200" t="e">
        <f>LOOKUP(C25,#REF!,#REF!)</f>
        <v>#REF!</v>
      </c>
      <c r="F25" s="202"/>
      <c r="G25" s="138">
        <f>F25*$G$4</f>
        <v>0</v>
      </c>
      <c r="H25" s="353">
        <f>0.97*N19</f>
        <v>3.88</v>
      </c>
      <c r="I25" s="139">
        <f t="shared" si="0"/>
        <v>0</v>
      </c>
      <c r="J25" s="212"/>
      <c r="K25" s="132" t="e">
        <f>I25/$J$27</f>
        <v>#DIV/0!</v>
      </c>
    </row>
    <row r="26" spans="1:14" s="6" customFormat="1" ht="15.75" customHeight="1" thickBot="1" x14ac:dyDescent="0.3">
      <c r="A26" s="519"/>
      <c r="B26" s="520"/>
      <c r="C26" s="520"/>
      <c r="D26" s="520"/>
      <c r="E26" s="521"/>
      <c r="F26" s="206"/>
      <c r="G26" s="206"/>
      <c r="H26" s="207" t="s">
        <v>62</v>
      </c>
      <c r="I26" s="215"/>
      <c r="J26" s="216">
        <f>SUM(I15:I25)</f>
        <v>0</v>
      </c>
      <c r="K26" s="210" t="e">
        <f>J26/J27</f>
        <v>#DIV/0!</v>
      </c>
    </row>
    <row r="27" spans="1:14" ht="27.75" customHeight="1" thickBot="1" x14ac:dyDescent="0.3">
      <c r="A27" s="470" t="s">
        <v>127</v>
      </c>
      <c r="B27" s="471"/>
      <c r="C27" s="471"/>
      <c r="D27" s="471"/>
      <c r="E27" s="471"/>
      <c r="F27" s="471"/>
      <c r="G27" s="471"/>
      <c r="H27" s="471"/>
      <c r="I27" s="472"/>
      <c r="J27" s="77">
        <f>SUM(J5:J26)</f>
        <v>0</v>
      </c>
      <c r="K27" s="78" t="e">
        <f>K8+K13+K26</f>
        <v>#DIV/0!</v>
      </c>
      <c r="M27" s="297"/>
    </row>
    <row r="28" spans="1:14" x14ac:dyDescent="0.25">
      <c r="A28" s="259"/>
      <c r="B28" s="260"/>
      <c r="C28" s="259"/>
      <c r="D28" s="261"/>
      <c r="E28" s="259"/>
      <c r="F28" s="260"/>
      <c r="G28" s="260"/>
      <c r="H28" s="260"/>
      <c r="I28" s="262"/>
      <c r="J28" s="263"/>
      <c r="K28" s="264"/>
    </row>
    <row r="29" spans="1:14" x14ac:dyDescent="0.25">
      <c r="A29" s="514" t="s">
        <v>64</v>
      </c>
      <c r="B29" s="515"/>
      <c r="C29" s="515"/>
      <c r="D29" s="331"/>
      <c r="E29" s="361"/>
      <c r="F29" s="361"/>
      <c r="G29" s="361"/>
      <c r="H29" s="499" t="s">
        <v>167</v>
      </c>
      <c r="I29" s="499"/>
      <c r="J29" s="499"/>
      <c r="K29" s="499"/>
    </row>
    <row r="30" spans="1:14" x14ac:dyDescent="0.25">
      <c r="A30" s="331"/>
      <c r="B30" s="497" t="s">
        <v>102</v>
      </c>
      <c r="C30" s="497"/>
      <c r="D30" s="332"/>
      <c r="E30" s="332"/>
      <c r="F30" s="332"/>
      <c r="G30" s="332"/>
      <c r="H30" s="332"/>
      <c r="I30" s="332"/>
      <c r="J30" s="332"/>
      <c r="K30" s="332"/>
    </row>
    <row r="31" spans="1:14" x14ac:dyDescent="0.25">
      <c r="A31" s="331"/>
      <c r="B31" s="498" t="s">
        <v>103</v>
      </c>
      <c r="C31" s="498"/>
      <c r="D31" s="332"/>
      <c r="E31" s="332"/>
      <c r="F31" s="332"/>
      <c r="G31" s="332"/>
      <c r="H31" s="332"/>
      <c r="I31" s="332"/>
      <c r="J31" s="332"/>
      <c r="K31" s="332"/>
    </row>
    <row r="32" spans="1:14" x14ac:dyDescent="0.25">
      <c r="A32" s="333"/>
      <c r="B32" s="498" t="s">
        <v>104</v>
      </c>
      <c r="C32" s="498"/>
      <c r="D32" s="332"/>
      <c r="E32" s="332"/>
      <c r="F32" s="332"/>
      <c r="G32" s="332"/>
      <c r="H32" s="332"/>
      <c r="I32" s="332"/>
      <c r="J32" s="332"/>
      <c r="K32" s="332"/>
    </row>
    <row r="33" spans="1:11" x14ac:dyDescent="0.25">
      <c r="A33" s="182"/>
      <c r="B33" s="240"/>
      <c r="C33" s="182"/>
      <c r="D33" s="362"/>
      <c r="E33" s="360"/>
      <c r="F33" s="401"/>
      <c r="G33" s="401"/>
      <c r="H33" s="6"/>
      <c r="I33" s="243"/>
      <c r="J33" s="244"/>
      <c r="K33" s="241"/>
    </row>
    <row r="34" spans="1:11" x14ac:dyDescent="0.25">
      <c r="A34" s="182"/>
      <c r="B34" s="240"/>
      <c r="C34" s="182"/>
      <c r="D34" s="403"/>
      <c r="E34" s="403"/>
      <c r="F34" s="402"/>
      <c r="G34" s="533"/>
      <c r="H34" s="403"/>
      <c r="I34" s="403"/>
      <c r="J34" s="403"/>
      <c r="K34" s="403"/>
    </row>
    <row r="35" spans="1:11" ht="15" customHeight="1" x14ac:dyDescent="0.25">
      <c r="A35" s="182"/>
      <c r="B35" s="240"/>
      <c r="C35" s="182"/>
      <c r="D35" s="403"/>
      <c r="E35" s="403"/>
      <c r="F35" s="401"/>
      <c r="G35" s="536"/>
      <c r="H35" s="403"/>
      <c r="I35" s="403"/>
      <c r="J35" s="403"/>
      <c r="K35" s="403"/>
    </row>
    <row r="36" spans="1:11" ht="15" customHeight="1" x14ac:dyDescent="0.25">
      <c r="A36" s="182"/>
      <c r="B36" s="240"/>
      <c r="C36" s="182"/>
      <c r="D36" s="403"/>
      <c r="E36" s="403"/>
      <c r="F36" s="401"/>
      <c r="G36" s="401"/>
      <c r="H36" s="414"/>
      <c r="I36" s="414"/>
      <c r="J36" s="414"/>
      <c r="K36" s="414"/>
    </row>
    <row r="37" spans="1:11" x14ac:dyDescent="0.25">
      <c r="A37" s="182"/>
      <c r="B37" s="240"/>
      <c r="C37" s="182"/>
      <c r="D37" s="362"/>
      <c r="E37" s="360"/>
      <c r="F37" s="401"/>
      <c r="G37" s="401"/>
      <c r="H37" s="6"/>
      <c r="I37" s="243"/>
      <c r="J37" s="244"/>
      <c r="K37" s="241"/>
    </row>
    <row r="38" spans="1:11" x14ac:dyDescent="0.25">
      <c r="A38" s="182"/>
      <c r="B38" s="240"/>
      <c r="C38" s="182"/>
      <c r="D38" s="362"/>
      <c r="E38" s="360"/>
      <c r="F38" s="401"/>
      <c r="G38" s="401"/>
      <c r="H38" s="6"/>
      <c r="I38" s="243"/>
      <c r="J38" s="244"/>
      <c r="K38" s="241"/>
    </row>
    <row r="39" spans="1:11" x14ac:dyDescent="0.25">
      <c r="B39" s="240"/>
      <c r="C39" s="182"/>
      <c r="D39" s="362"/>
      <c r="E39" s="360"/>
      <c r="F39" s="401"/>
      <c r="G39" s="401"/>
      <c r="H39" s="6"/>
      <c r="I39" s="243"/>
      <c r="J39" s="244"/>
      <c r="K39" s="241"/>
    </row>
    <row r="40" spans="1:11" x14ac:dyDescent="0.25">
      <c r="D40" s="362"/>
      <c r="E40" s="360"/>
      <c r="F40" s="401"/>
      <c r="G40" s="401"/>
      <c r="H40" s="403"/>
      <c r="I40" s="403"/>
      <c r="J40" s="403"/>
      <c r="K40" s="403"/>
    </row>
    <row r="41" spans="1:11" x14ac:dyDescent="0.25">
      <c r="D41" s="362"/>
      <c r="E41" s="360"/>
      <c r="F41" s="401"/>
      <c r="G41" s="401"/>
      <c r="H41" s="403"/>
      <c r="I41" s="403"/>
      <c r="J41" s="403"/>
      <c r="K41" s="403"/>
    </row>
    <row r="42" spans="1:11" x14ac:dyDescent="0.25">
      <c r="D42" s="362"/>
      <c r="E42" s="360"/>
      <c r="F42" s="401"/>
      <c r="G42" s="401"/>
      <c r="H42" s="403"/>
      <c r="I42" s="403"/>
      <c r="J42" s="403"/>
      <c r="K42" s="403"/>
    </row>
  </sheetData>
  <mergeCells count="27">
    <mergeCell ref="H40:K40"/>
    <mergeCell ref="H41:K41"/>
    <mergeCell ref="H42:K42"/>
    <mergeCell ref="D34:E34"/>
    <mergeCell ref="H34:K34"/>
    <mergeCell ref="D35:E35"/>
    <mergeCell ref="H35:K35"/>
    <mergeCell ref="D36:E36"/>
    <mergeCell ref="H36:K36"/>
    <mergeCell ref="H29:K29"/>
    <mergeCell ref="A1:K1"/>
    <mergeCell ref="A2:A4"/>
    <mergeCell ref="B2:B4"/>
    <mergeCell ref="C2:C4"/>
    <mergeCell ref="D2:D4"/>
    <mergeCell ref="E2:E4"/>
    <mergeCell ref="F2:F4"/>
    <mergeCell ref="H2:H4"/>
    <mergeCell ref="I2:I4"/>
    <mergeCell ref="J2:J4"/>
    <mergeCell ref="K2:K4"/>
    <mergeCell ref="B32:C32"/>
    <mergeCell ref="A26:E26"/>
    <mergeCell ref="A27:I27"/>
    <mergeCell ref="A29:C29"/>
    <mergeCell ref="B30:C30"/>
    <mergeCell ref="B31:C31"/>
  </mergeCells>
  <printOptions horizontalCentered="1"/>
  <pageMargins left="0.31496062992125984" right="0.35433070866141736" top="1.1811023622047245" bottom="1.1811023622047245" header="0.31496062992125984" footer="0.31496062992125984"/>
  <pageSetup paperSize="9" scale="68" orientation="portrait" horizontalDpi="4294967293" r:id="rId1"/>
  <headerFooter>
    <oddHeader>&amp;L&amp;G&amp;C&amp;"-,Negrito"&amp;18PREFEITURA MUNICIPAL DE POTIM&amp;"-,Regular"&amp;11
&amp;"-,Negrito"&amp;18“TERRA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3"/>
  <sheetViews>
    <sheetView view="pageBreakPreview" zoomScaleNormal="84" zoomScaleSheetLayoutView="100" workbookViewId="0">
      <selection sqref="A1:K1"/>
    </sheetView>
  </sheetViews>
  <sheetFormatPr defaultRowHeight="15" x14ac:dyDescent="0.2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3.42578125" style="250" customWidth="1"/>
    <col min="11" max="11" width="9.140625" style="251"/>
    <col min="12" max="16384" width="9.140625" style="190"/>
  </cols>
  <sheetData>
    <row r="1" spans="1:11" ht="36" customHeight="1" thickBot="1" x14ac:dyDescent="0.3">
      <c r="A1" s="516" t="s">
        <v>152</v>
      </c>
      <c r="B1" s="517"/>
      <c r="C1" s="517"/>
      <c r="D1" s="517"/>
      <c r="E1" s="517"/>
      <c r="F1" s="517"/>
      <c r="G1" s="517"/>
      <c r="H1" s="517"/>
      <c r="I1" s="517"/>
      <c r="J1" s="517"/>
      <c r="K1" s="518"/>
    </row>
    <row r="2" spans="1:11" ht="43.5" customHeight="1" x14ac:dyDescent="0.25">
      <c r="A2" s="494" t="s">
        <v>20</v>
      </c>
      <c r="B2" s="476" t="s">
        <v>21</v>
      </c>
      <c r="C2" s="476" t="s">
        <v>6</v>
      </c>
      <c r="D2" s="476" t="s">
        <v>27</v>
      </c>
      <c r="E2" s="479" t="s">
        <v>22</v>
      </c>
      <c r="F2" s="479" t="s">
        <v>65</v>
      </c>
      <c r="G2" s="265" t="s">
        <v>74</v>
      </c>
      <c r="H2" s="479" t="s">
        <v>23</v>
      </c>
      <c r="I2" s="485" t="s">
        <v>24</v>
      </c>
      <c r="J2" s="488" t="s">
        <v>40</v>
      </c>
      <c r="K2" s="491" t="s">
        <v>25</v>
      </c>
    </row>
    <row r="3" spans="1:11" ht="29.25" customHeight="1" x14ac:dyDescent="0.25">
      <c r="A3" s="495"/>
      <c r="B3" s="477"/>
      <c r="C3" s="477"/>
      <c r="D3" s="477"/>
      <c r="E3" s="480"/>
      <c r="F3" s="480"/>
      <c r="G3" s="116">
        <v>20.09</v>
      </c>
      <c r="H3" s="480"/>
      <c r="I3" s="486"/>
      <c r="J3" s="489"/>
      <c r="K3" s="492"/>
    </row>
    <row r="4" spans="1:11" ht="9" hidden="1" customHeight="1" x14ac:dyDescent="0.25">
      <c r="A4" s="496"/>
      <c r="B4" s="478"/>
      <c r="C4" s="478"/>
      <c r="D4" s="478"/>
      <c r="E4" s="481"/>
      <c r="F4" s="481"/>
      <c r="G4" s="195">
        <f>(G3/100)+1</f>
        <v>1.2009000000000001</v>
      </c>
      <c r="H4" s="481"/>
      <c r="I4" s="487"/>
      <c r="J4" s="490"/>
      <c r="K4" s="493"/>
    </row>
    <row r="5" spans="1:11" x14ac:dyDescent="0.25">
      <c r="A5" s="79" t="s">
        <v>84</v>
      </c>
      <c r="B5" s="266"/>
      <c r="C5" s="267"/>
      <c r="D5" s="82" t="s">
        <v>13</v>
      </c>
      <c r="E5" s="83"/>
      <c r="F5" s="83"/>
      <c r="G5" s="83"/>
      <c r="H5" s="268"/>
      <c r="I5" s="269"/>
      <c r="J5" s="84"/>
      <c r="K5" s="85"/>
    </row>
    <row r="6" spans="1:11" x14ac:dyDescent="0.25">
      <c r="A6" s="282" t="s">
        <v>85</v>
      </c>
      <c r="B6" s="275"/>
      <c r="C6" s="280"/>
      <c r="D6" s="91" t="s">
        <v>78</v>
      </c>
      <c r="E6" s="283"/>
      <c r="F6" s="272"/>
      <c r="G6" s="272"/>
      <c r="H6" s="272"/>
      <c r="I6" s="276"/>
      <c r="J6" s="276"/>
      <c r="K6" s="87"/>
    </row>
    <row r="7" spans="1:11" ht="27" thickBot="1" x14ac:dyDescent="0.3">
      <c r="A7" s="284" t="s">
        <v>31</v>
      </c>
      <c r="B7" s="125" t="s">
        <v>100</v>
      </c>
      <c r="C7" s="200" t="s">
        <v>1</v>
      </c>
      <c r="D7" s="271" t="e">
        <f>LOOKUP(C7,#REF!,#REF!)</f>
        <v>#REF!</v>
      </c>
      <c r="E7" s="268" t="e">
        <f>LOOKUP(C7,#REF!,#REF!)</f>
        <v>#REF!</v>
      </c>
      <c r="F7" s="335"/>
      <c r="G7" s="130">
        <f>F7*G4</f>
        <v>0</v>
      </c>
      <c r="H7" s="290">
        <v>680.1</v>
      </c>
      <c r="I7" s="131">
        <f>G7*H7</f>
        <v>0</v>
      </c>
      <c r="J7" s="291"/>
      <c r="K7" s="132" t="e">
        <f>I7/J28</f>
        <v>#DIV/0!</v>
      </c>
    </row>
    <row r="8" spans="1:11" ht="15.75" thickBot="1" x14ac:dyDescent="0.3">
      <c r="A8" s="92"/>
      <c r="B8" s="285"/>
      <c r="C8" s="285"/>
      <c r="D8" s="286"/>
      <c r="E8" s="287"/>
      <c r="F8" s="274"/>
      <c r="G8" s="274"/>
      <c r="H8" s="58" t="s">
        <v>73</v>
      </c>
      <c r="I8" s="46"/>
      <c r="J8" s="279">
        <f>SUM(I7:I7)</f>
        <v>0</v>
      </c>
      <c r="K8" s="76" t="e">
        <f>J8/J28</f>
        <v>#DIV/0!</v>
      </c>
    </row>
    <row r="9" spans="1:11" x14ac:dyDescent="0.25">
      <c r="A9" s="282" t="s">
        <v>86</v>
      </c>
      <c r="B9" s="275"/>
      <c r="C9" s="280"/>
      <c r="D9" s="91" t="s">
        <v>15</v>
      </c>
      <c r="E9" s="280"/>
      <c r="F9" s="272"/>
      <c r="G9" s="272"/>
      <c r="H9" s="272"/>
      <c r="I9" s="276"/>
      <c r="J9" s="276"/>
      <c r="K9" s="87"/>
    </row>
    <row r="10" spans="1:11" ht="39" x14ac:dyDescent="0.25">
      <c r="A10" s="222" t="s">
        <v>33</v>
      </c>
      <c r="B10" s="133" t="s">
        <v>100</v>
      </c>
      <c r="C10" s="200" t="s">
        <v>3</v>
      </c>
      <c r="D10" s="271" t="e">
        <f>LOOKUP(C10,#REF!,#REF!)</f>
        <v>#REF!</v>
      </c>
      <c r="E10" s="268" t="e">
        <f>LOOKUP(C10,#REF!,#REF!)</f>
        <v>#REF!</v>
      </c>
      <c r="F10" s="335"/>
      <c r="G10" s="292">
        <f>F10*G4</f>
        <v>0</v>
      </c>
      <c r="H10" s="290">
        <v>680.1</v>
      </c>
      <c r="I10" s="131">
        <f>G10*H10</f>
        <v>0</v>
      </c>
      <c r="J10" s="291"/>
      <c r="K10" s="132" t="e">
        <f>I10/J28</f>
        <v>#DIV/0!</v>
      </c>
    </row>
    <row r="11" spans="1:11" ht="64.5" customHeight="1" x14ac:dyDescent="0.25">
      <c r="A11" s="222" t="s">
        <v>34</v>
      </c>
      <c r="B11" s="293" t="s">
        <v>108</v>
      </c>
      <c r="C11" s="205">
        <v>94274</v>
      </c>
      <c r="D11" s="288" t="s">
        <v>5</v>
      </c>
      <c r="E11" s="200" t="s">
        <v>0</v>
      </c>
      <c r="F11" s="290"/>
      <c r="G11" s="292">
        <f>F11*G4</f>
        <v>0</v>
      </c>
      <c r="H11" s="290">
        <v>3</v>
      </c>
      <c r="I11" s="131">
        <f>G11*H11</f>
        <v>0</v>
      </c>
      <c r="J11" s="291"/>
      <c r="K11" s="132" t="e">
        <f>I11/J28</f>
        <v>#DIV/0!</v>
      </c>
    </row>
    <row r="12" spans="1:11" ht="77.25" x14ac:dyDescent="0.25">
      <c r="A12" s="222" t="s">
        <v>35</v>
      </c>
      <c r="B12" s="293" t="s">
        <v>108</v>
      </c>
      <c r="C12" s="205">
        <v>94275</v>
      </c>
      <c r="D12" s="288" t="s">
        <v>79</v>
      </c>
      <c r="E12" s="200" t="s">
        <v>0</v>
      </c>
      <c r="F12" s="290"/>
      <c r="G12" s="292">
        <f>F12*G4</f>
        <v>0</v>
      </c>
      <c r="H12" s="290">
        <v>15</v>
      </c>
      <c r="I12" s="131">
        <f>G12*H12</f>
        <v>0</v>
      </c>
      <c r="J12" s="291"/>
      <c r="K12" s="132" t="e">
        <f>I12/J28</f>
        <v>#DIV/0!</v>
      </c>
    </row>
    <row r="13" spans="1:11" ht="27" thickBot="1" x14ac:dyDescent="0.3">
      <c r="A13" s="222" t="s">
        <v>36</v>
      </c>
      <c r="B13" s="133" t="s">
        <v>100</v>
      </c>
      <c r="C13" s="200" t="s">
        <v>2</v>
      </c>
      <c r="D13" s="271" t="e">
        <f>LOOKUP(C13,#REF!,#REF!)</f>
        <v>#REF!</v>
      </c>
      <c r="E13" s="268" t="e">
        <f>LOOKUP(C13,#REF!,#REF!)</f>
        <v>#REF!</v>
      </c>
      <c r="F13" s="335"/>
      <c r="G13" s="292">
        <f>F13*G4</f>
        <v>0</v>
      </c>
      <c r="H13" s="290">
        <f>(H11+H12)*0.3*0.11</f>
        <v>0.59399999999999997</v>
      </c>
      <c r="I13" s="131">
        <f>G13*H13</f>
        <v>0</v>
      </c>
      <c r="J13" s="291"/>
      <c r="K13" s="132" t="e">
        <f>I13/J28</f>
        <v>#DIV/0!</v>
      </c>
    </row>
    <row r="14" spans="1:11" ht="15.75" thickBot="1" x14ac:dyDescent="0.3">
      <c r="A14" s="92"/>
      <c r="B14" s="285"/>
      <c r="C14" s="285"/>
      <c r="D14" s="286"/>
      <c r="E14" s="287"/>
      <c r="F14" s="274"/>
      <c r="G14" s="274"/>
      <c r="H14" s="58" t="s">
        <v>61</v>
      </c>
      <c r="I14" s="46"/>
      <c r="J14" s="279">
        <f>SUM(I10:I13)</f>
        <v>0</v>
      </c>
      <c r="K14" s="76" t="e">
        <f>J14/J28</f>
        <v>#DIV/0!</v>
      </c>
    </row>
    <row r="15" spans="1:11" x14ac:dyDescent="0.25">
      <c r="A15" s="282" t="s">
        <v>87</v>
      </c>
      <c r="B15" s="275"/>
      <c r="C15" s="280"/>
      <c r="D15" s="289" t="s">
        <v>16</v>
      </c>
      <c r="E15" s="280"/>
      <c r="F15" s="272"/>
      <c r="G15" s="272"/>
      <c r="H15" s="272"/>
      <c r="I15" s="276"/>
      <c r="J15" s="276"/>
      <c r="K15" s="87"/>
    </row>
    <row r="16" spans="1:11" ht="25.5" x14ac:dyDescent="0.25">
      <c r="A16" s="222" t="s">
        <v>37</v>
      </c>
      <c r="B16" s="135" t="s">
        <v>101</v>
      </c>
      <c r="C16" s="200">
        <v>72947</v>
      </c>
      <c r="D16" s="201" t="s">
        <v>69</v>
      </c>
      <c r="E16" s="200" t="s">
        <v>9</v>
      </c>
      <c r="F16" s="202"/>
      <c r="G16" s="138">
        <f>F16*G4</f>
        <v>0</v>
      </c>
      <c r="H16" s="202">
        <v>25.04</v>
      </c>
      <c r="I16" s="139">
        <f>G16*H16</f>
        <v>0</v>
      </c>
      <c r="J16" s="212"/>
      <c r="K16" s="132" t="e">
        <f>I16/J28</f>
        <v>#DIV/0!</v>
      </c>
    </row>
    <row r="17" spans="1:14" ht="26.25" x14ac:dyDescent="0.25">
      <c r="A17" s="222" t="s">
        <v>38</v>
      </c>
      <c r="B17" s="125" t="s">
        <v>100</v>
      </c>
      <c r="C17" s="200" t="s">
        <v>11</v>
      </c>
      <c r="D17" s="271" t="e">
        <f>LOOKUP(C17,#REF!,#REF!)</f>
        <v>#REF!</v>
      </c>
      <c r="E17" s="268" t="e">
        <f>LOOKUP(C17,#REF!,#REF!)</f>
        <v>#REF!</v>
      </c>
      <c r="F17" s="335"/>
      <c r="G17" s="138">
        <f>F17*G4</f>
        <v>0</v>
      </c>
      <c r="H17" s="202">
        <f>0.32*2</f>
        <v>0.64</v>
      </c>
      <c r="I17" s="139">
        <f t="shared" ref="I17:I26" si="0">G17*H17</f>
        <v>0</v>
      </c>
      <c r="J17" s="212"/>
      <c r="K17" s="132" t="e">
        <f>I17/J28</f>
        <v>#DIV/0!</v>
      </c>
    </row>
    <row r="18" spans="1:14" x14ac:dyDescent="0.25">
      <c r="A18" s="222" t="s">
        <v>39</v>
      </c>
      <c r="B18" s="125" t="s">
        <v>100</v>
      </c>
      <c r="C18" s="213" t="s">
        <v>19</v>
      </c>
      <c r="D18" s="271" t="e">
        <f>LOOKUP(C18,#REF!,#REF!)</f>
        <v>#REF!</v>
      </c>
      <c r="E18" s="268" t="e">
        <f>LOOKUP(C18,#REF!,#REF!)</f>
        <v>#REF!</v>
      </c>
      <c r="F18" s="335"/>
      <c r="G18" s="138">
        <f>F18*G4</f>
        <v>0</v>
      </c>
      <c r="H18" s="202">
        <f>3*3</f>
        <v>9</v>
      </c>
      <c r="I18" s="139">
        <f t="shared" si="0"/>
        <v>0</v>
      </c>
      <c r="J18" s="212"/>
      <c r="K18" s="132" t="e">
        <f>I18/J28</f>
        <v>#DIV/0!</v>
      </c>
    </row>
    <row r="19" spans="1:14" ht="26.25" x14ac:dyDescent="0.25">
      <c r="A19" s="222" t="s">
        <v>110</v>
      </c>
      <c r="B19" s="125" t="s">
        <v>100</v>
      </c>
      <c r="C19" s="213" t="s">
        <v>95</v>
      </c>
      <c r="D19" s="271" t="e">
        <f>LOOKUP(C19,#REF!,#REF!)</f>
        <v>#REF!</v>
      </c>
      <c r="E19" s="268" t="e">
        <f>LOOKUP(C19,#REF!,#REF!)</f>
        <v>#REF!</v>
      </c>
      <c r="F19" s="335"/>
      <c r="G19" s="138">
        <f>F19*G4</f>
        <v>0</v>
      </c>
      <c r="H19" s="202">
        <f>3*0.5</f>
        <v>1.5</v>
      </c>
      <c r="I19" s="139">
        <f>G19*H19</f>
        <v>0</v>
      </c>
      <c r="J19" s="212"/>
      <c r="K19" s="132" t="e">
        <f>I19/J28</f>
        <v>#DIV/0!</v>
      </c>
    </row>
    <row r="20" spans="1:14" s="6" customFormat="1" ht="25.5" x14ac:dyDescent="0.25">
      <c r="A20" s="222" t="s">
        <v>111</v>
      </c>
      <c r="B20" s="135" t="s">
        <v>101</v>
      </c>
      <c r="C20" s="213" t="s">
        <v>105</v>
      </c>
      <c r="D20" s="214" t="s">
        <v>57</v>
      </c>
      <c r="E20" s="218" t="s">
        <v>12</v>
      </c>
      <c r="F20" s="202"/>
      <c r="G20" s="138">
        <f>F20*G4</f>
        <v>0</v>
      </c>
      <c r="H20" s="202">
        <v>2</v>
      </c>
      <c r="I20" s="139">
        <f t="shared" si="0"/>
        <v>0</v>
      </c>
      <c r="J20" s="212"/>
      <c r="K20" s="132" t="e">
        <f>I20/J28</f>
        <v>#DIV/0!</v>
      </c>
      <c r="N20" s="6">
        <v>4</v>
      </c>
    </row>
    <row r="21" spans="1:14" s="6" customFormat="1" ht="25.5" x14ac:dyDescent="0.25">
      <c r="A21" s="222" t="s">
        <v>112</v>
      </c>
      <c r="B21" s="125" t="s">
        <v>100</v>
      </c>
      <c r="C21" s="200" t="s">
        <v>10</v>
      </c>
      <c r="D21" s="201" t="s">
        <v>58</v>
      </c>
      <c r="E21" s="198" t="e">
        <f>LOOKUP(C21,#REF!,#REF!)</f>
        <v>#REF!</v>
      </c>
      <c r="F21" s="335"/>
      <c r="G21" s="138">
        <f>F21*G4</f>
        <v>0</v>
      </c>
      <c r="H21" s="202">
        <v>40.32</v>
      </c>
      <c r="I21" s="139">
        <f t="shared" si="0"/>
        <v>0</v>
      </c>
      <c r="J21" s="212"/>
      <c r="K21" s="132" t="e">
        <f>I21/J28</f>
        <v>#DIV/0!</v>
      </c>
    </row>
    <row r="22" spans="1:14" s="6" customFormat="1" ht="25.5" x14ac:dyDescent="0.25">
      <c r="A22" s="36" t="s">
        <v>113</v>
      </c>
      <c r="B22" s="125" t="s">
        <v>100</v>
      </c>
      <c r="C22" s="128" t="s">
        <v>96</v>
      </c>
      <c r="D22" s="201" t="e">
        <f>LOOKUP(C22,#REF!,#REF!)</f>
        <v>#REF!</v>
      </c>
      <c r="E22" s="200" t="e">
        <f>LOOKUP(C22,#REF!,#REF!)</f>
        <v>#REF!</v>
      </c>
      <c r="F22" s="202"/>
      <c r="G22" s="138">
        <f>F22*$G$4</f>
        <v>0</v>
      </c>
      <c r="H22" s="353">
        <f>1.13*N20</f>
        <v>4.5199999999999996</v>
      </c>
      <c r="I22" s="139">
        <f t="shared" si="0"/>
        <v>0</v>
      </c>
      <c r="J22" s="212"/>
      <c r="K22" s="132" t="e">
        <f>I22/$J$27</f>
        <v>#DIV/0!</v>
      </c>
    </row>
    <row r="23" spans="1:14" s="6" customFormat="1" ht="38.25" x14ac:dyDescent="0.25">
      <c r="A23" s="36" t="s">
        <v>114</v>
      </c>
      <c r="B23" s="125" t="s">
        <v>100</v>
      </c>
      <c r="C23" s="128" t="s">
        <v>97</v>
      </c>
      <c r="D23" s="201" t="e">
        <f>LOOKUP(C23,#REF!,#REF!)</f>
        <v>#REF!</v>
      </c>
      <c r="E23" s="200" t="e">
        <f>LOOKUP(C23,#REF!,#REF!)</f>
        <v>#REF!</v>
      </c>
      <c r="F23" s="202"/>
      <c r="G23" s="138">
        <f>F23*$G$4</f>
        <v>0</v>
      </c>
      <c r="H23" s="353">
        <f>1.13*N20</f>
        <v>4.5199999999999996</v>
      </c>
      <c r="I23" s="139">
        <f t="shared" si="0"/>
        <v>0</v>
      </c>
      <c r="J23" s="212"/>
      <c r="K23" s="132" t="e">
        <f>I23/$J$27</f>
        <v>#DIV/0!</v>
      </c>
    </row>
    <row r="24" spans="1:14" s="6" customFormat="1" x14ac:dyDescent="0.25">
      <c r="A24" s="36" t="s">
        <v>122</v>
      </c>
      <c r="B24" s="125" t="s">
        <v>100</v>
      </c>
      <c r="C24" s="128" t="s">
        <v>94</v>
      </c>
      <c r="D24" s="201" t="e">
        <f>LOOKUP(C24,#REF!,#REF!)</f>
        <v>#REF!</v>
      </c>
      <c r="E24" s="200" t="e">
        <f>LOOKUP(C24,#REF!,#REF!)</f>
        <v>#REF!</v>
      </c>
      <c r="F24" s="202"/>
      <c r="G24" s="138">
        <f>F24*$G$4</f>
        <v>0</v>
      </c>
      <c r="H24" s="353">
        <f>0.26*N20</f>
        <v>1.04</v>
      </c>
      <c r="I24" s="139">
        <f t="shared" si="0"/>
        <v>0</v>
      </c>
      <c r="J24" s="212"/>
      <c r="K24" s="132" t="e">
        <f>I24/$J$27</f>
        <v>#DIV/0!</v>
      </c>
    </row>
    <row r="25" spans="1:14" s="6" customFormat="1" x14ac:dyDescent="0.25">
      <c r="A25" s="36" t="s">
        <v>123</v>
      </c>
      <c r="B25" s="125" t="s">
        <v>100</v>
      </c>
      <c r="C25" s="128" t="s">
        <v>92</v>
      </c>
      <c r="D25" s="201" t="e">
        <f>LOOKUP(C25,#REF!,#REF!)</f>
        <v>#REF!</v>
      </c>
      <c r="E25" s="200" t="e">
        <f>LOOKUP(C25,#REF!,#REF!)</f>
        <v>#REF!</v>
      </c>
      <c r="F25" s="202"/>
      <c r="G25" s="138">
        <f>F25*$G$4</f>
        <v>0</v>
      </c>
      <c r="H25" s="353">
        <f>0.97*N20</f>
        <v>3.88</v>
      </c>
      <c r="I25" s="139">
        <f t="shared" si="0"/>
        <v>0</v>
      </c>
      <c r="J25" s="212"/>
      <c r="K25" s="132" t="e">
        <f>I25/$J$27</f>
        <v>#DIV/0!</v>
      </c>
    </row>
    <row r="26" spans="1:14" s="6" customFormat="1" ht="26.25" thickBot="1" x14ac:dyDescent="0.3">
      <c r="A26" s="36" t="s">
        <v>124</v>
      </c>
      <c r="B26" s="125" t="s">
        <v>100</v>
      </c>
      <c r="C26" s="128" t="s">
        <v>93</v>
      </c>
      <c r="D26" s="201" t="e">
        <f>LOOKUP(C26,#REF!,#REF!)</f>
        <v>#REF!</v>
      </c>
      <c r="E26" s="200" t="e">
        <f>LOOKUP(C26,#REF!,#REF!)</f>
        <v>#REF!</v>
      </c>
      <c r="F26" s="202"/>
      <c r="G26" s="138">
        <f>F26*$G$4</f>
        <v>0</v>
      </c>
      <c r="H26" s="353">
        <f>0.97*N20</f>
        <v>3.88</v>
      </c>
      <c r="I26" s="139">
        <f t="shared" si="0"/>
        <v>0</v>
      </c>
      <c r="J26" s="212"/>
      <c r="K26" s="132" t="e">
        <f>I26/$J$27</f>
        <v>#DIV/0!</v>
      </c>
    </row>
    <row r="27" spans="1:14" s="6" customFormat="1" ht="15.75" customHeight="1" thickBot="1" x14ac:dyDescent="0.3">
      <c r="A27" s="519"/>
      <c r="B27" s="520"/>
      <c r="C27" s="520"/>
      <c r="D27" s="520"/>
      <c r="E27" s="521"/>
      <c r="F27" s="206"/>
      <c r="G27" s="206"/>
      <c r="H27" s="207" t="s">
        <v>62</v>
      </c>
      <c r="I27" s="215"/>
      <c r="J27" s="216">
        <f>SUM(I16:I26)</f>
        <v>0</v>
      </c>
      <c r="K27" s="210" t="e">
        <f>J27/J28</f>
        <v>#DIV/0!</v>
      </c>
    </row>
    <row r="28" spans="1:14" s="254" customFormat="1" ht="16.5" thickBot="1" x14ac:dyDescent="0.3">
      <c r="A28" s="470" t="s">
        <v>127</v>
      </c>
      <c r="B28" s="510"/>
      <c r="C28" s="510"/>
      <c r="D28" s="510"/>
      <c r="E28" s="510"/>
      <c r="F28" s="510"/>
      <c r="G28" s="510"/>
      <c r="H28" s="510"/>
      <c r="I28" s="511"/>
      <c r="J28" s="162">
        <f>SUM(J5:J27)</f>
        <v>0</v>
      </c>
      <c r="K28" s="163" t="e">
        <f>K8+K14+K27</f>
        <v>#DIV/0!</v>
      </c>
      <c r="M28" s="294"/>
    </row>
    <row r="29" spans="1:14" x14ac:dyDescent="0.25">
      <c r="A29" s="259"/>
      <c r="B29" s="260"/>
      <c r="C29" s="259"/>
      <c r="D29" s="261"/>
      <c r="E29" s="259"/>
      <c r="F29" s="260"/>
      <c r="G29" s="260"/>
      <c r="H29" s="260"/>
      <c r="I29" s="262"/>
      <c r="J29" s="263"/>
      <c r="K29" s="264"/>
    </row>
    <row r="30" spans="1:14" x14ac:dyDescent="0.25">
      <c r="A30" s="514" t="s">
        <v>64</v>
      </c>
      <c r="B30" s="515"/>
      <c r="C30" s="515"/>
      <c r="D30" s="331"/>
      <c r="E30" s="361"/>
      <c r="F30" s="361"/>
      <c r="G30" s="361"/>
      <c r="H30" s="499" t="s">
        <v>167</v>
      </c>
      <c r="I30" s="499"/>
      <c r="J30" s="499"/>
      <c r="K30" s="499"/>
    </row>
    <row r="31" spans="1:14" x14ac:dyDescent="0.25">
      <c r="A31" s="331"/>
      <c r="B31" s="497" t="s">
        <v>102</v>
      </c>
      <c r="C31" s="497"/>
      <c r="D31" s="332"/>
      <c r="E31" s="332"/>
      <c r="F31" s="332"/>
      <c r="G31" s="332"/>
      <c r="H31" s="332"/>
      <c r="I31" s="332"/>
      <c r="J31" s="332"/>
      <c r="K31" s="332"/>
    </row>
    <row r="32" spans="1:14" x14ac:dyDescent="0.25">
      <c r="A32" s="331"/>
      <c r="B32" s="498" t="s">
        <v>103</v>
      </c>
      <c r="C32" s="498"/>
      <c r="D32" s="332"/>
      <c r="E32" s="332"/>
      <c r="F32" s="332"/>
      <c r="G32" s="332"/>
      <c r="H32" s="332"/>
      <c r="I32" s="332"/>
      <c r="J32" s="332"/>
      <c r="K32" s="332"/>
    </row>
    <row r="33" spans="1:11" x14ac:dyDescent="0.25">
      <c r="A33" s="333"/>
      <c r="B33" s="498" t="s">
        <v>104</v>
      </c>
      <c r="C33" s="498"/>
      <c r="D33" s="332"/>
      <c r="E33" s="332"/>
      <c r="F33" s="332"/>
      <c r="G33" s="332"/>
      <c r="H33" s="332"/>
      <c r="I33" s="332"/>
      <c r="J33" s="332"/>
      <c r="K33" s="332"/>
    </row>
    <row r="34" spans="1:11" x14ac:dyDescent="0.25">
      <c r="A34" s="182"/>
      <c r="B34" s="240"/>
      <c r="C34" s="182"/>
      <c r="D34" s="362"/>
      <c r="E34" s="360"/>
      <c r="F34" s="401"/>
      <c r="G34" s="401"/>
      <c r="H34" s="6"/>
      <c r="I34" s="243"/>
      <c r="J34" s="244"/>
      <c r="K34" s="241"/>
    </row>
    <row r="35" spans="1:11" x14ac:dyDescent="0.25">
      <c r="A35" s="182"/>
      <c r="B35" s="240"/>
      <c r="C35" s="182"/>
      <c r="D35" s="403"/>
      <c r="E35" s="403"/>
      <c r="F35" s="402"/>
      <c r="G35" s="533"/>
      <c r="H35" s="403"/>
      <c r="I35" s="403"/>
      <c r="J35" s="403"/>
      <c r="K35" s="403"/>
    </row>
    <row r="36" spans="1:11" x14ac:dyDescent="0.25">
      <c r="A36" s="182"/>
      <c r="B36" s="240"/>
      <c r="C36" s="182"/>
      <c r="D36" s="403"/>
      <c r="E36" s="403"/>
      <c r="F36" s="401"/>
      <c r="G36" s="536"/>
      <c r="H36" s="403"/>
      <c r="I36" s="403"/>
      <c r="J36" s="403"/>
      <c r="K36" s="403"/>
    </row>
    <row r="37" spans="1:11" ht="15" customHeight="1" x14ac:dyDescent="0.25">
      <c r="A37" s="182"/>
      <c r="B37" s="240"/>
      <c r="C37" s="182"/>
      <c r="D37" s="403"/>
      <c r="E37" s="403"/>
      <c r="F37" s="401"/>
      <c r="G37" s="401"/>
      <c r="H37" s="414"/>
      <c r="I37" s="414"/>
      <c r="J37" s="414"/>
      <c r="K37" s="414"/>
    </row>
    <row r="38" spans="1:11" ht="15" customHeight="1" x14ac:dyDescent="0.25">
      <c r="A38" s="182"/>
      <c r="B38" s="240"/>
      <c r="C38" s="182"/>
      <c r="D38" s="362"/>
      <c r="E38" s="360"/>
      <c r="F38" s="401"/>
      <c r="G38" s="401"/>
      <c r="H38" s="6"/>
      <c r="I38" s="243"/>
      <c r="J38" s="244"/>
      <c r="K38" s="241"/>
    </row>
    <row r="39" spans="1:11" x14ac:dyDescent="0.25">
      <c r="A39" s="182"/>
      <c r="B39" s="240"/>
      <c r="C39" s="182"/>
      <c r="D39" s="362"/>
      <c r="E39" s="360"/>
      <c r="F39" s="401"/>
      <c r="G39" s="401"/>
      <c r="H39" s="6"/>
      <c r="I39" s="243"/>
      <c r="J39" s="244"/>
      <c r="K39" s="241"/>
    </row>
    <row r="40" spans="1:11" x14ac:dyDescent="0.25">
      <c r="A40" s="182"/>
      <c r="B40" s="240"/>
      <c r="C40" s="182"/>
      <c r="D40" s="362"/>
      <c r="E40" s="360"/>
      <c r="F40" s="401"/>
      <c r="G40" s="401"/>
      <c r="H40" s="6"/>
      <c r="I40" s="243"/>
      <c r="J40" s="244"/>
      <c r="K40" s="241"/>
    </row>
    <row r="41" spans="1:11" x14ac:dyDescent="0.25">
      <c r="B41" s="240"/>
      <c r="C41" s="182"/>
      <c r="D41" s="362"/>
      <c r="E41" s="360"/>
      <c r="F41" s="401"/>
      <c r="G41" s="401"/>
      <c r="H41" s="403"/>
      <c r="I41" s="403"/>
      <c r="J41" s="403"/>
      <c r="K41" s="403"/>
    </row>
    <row r="42" spans="1:11" x14ac:dyDescent="0.25">
      <c r="A42" s="182"/>
      <c r="B42" s="240"/>
      <c r="C42" s="182"/>
      <c r="D42" s="362"/>
      <c r="E42" s="360"/>
      <c r="F42" s="401"/>
      <c r="G42" s="401"/>
      <c r="H42" s="403"/>
      <c r="I42" s="403"/>
      <c r="J42" s="403"/>
      <c r="K42" s="403"/>
    </row>
    <row r="43" spans="1:11" x14ac:dyDescent="0.25">
      <c r="D43" s="362"/>
      <c r="E43" s="360"/>
      <c r="F43" s="401"/>
      <c r="G43" s="401"/>
      <c r="H43" s="403"/>
      <c r="I43" s="403"/>
      <c r="J43" s="403"/>
      <c r="K43" s="403"/>
    </row>
  </sheetData>
  <mergeCells count="27">
    <mergeCell ref="H41:K41"/>
    <mergeCell ref="H42:K42"/>
    <mergeCell ref="H43:K43"/>
    <mergeCell ref="D35:E35"/>
    <mergeCell ref="H35:K35"/>
    <mergeCell ref="D36:E36"/>
    <mergeCell ref="H36:K36"/>
    <mergeCell ref="D37:E37"/>
    <mergeCell ref="H37:K37"/>
    <mergeCell ref="H30:K30"/>
    <mergeCell ref="A1:K1"/>
    <mergeCell ref="A2:A4"/>
    <mergeCell ref="B2:B4"/>
    <mergeCell ref="C2:C4"/>
    <mergeCell ref="D2:D4"/>
    <mergeCell ref="E2:E4"/>
    <mergeCell ref="F2:F4"/>
    <mergeCell ref="H2:H4"/>
    <mergeCell ref="I2:I4"/>
    <mergeCell ref="J2:J4"/>
    <mergeCell ref="K2:K4"/>
    <mergeCell ref="B33:C33"/>
    <mergeCell ref="A27:E27"/>
    <mergeCell ref="A28:I28"/>
    <mergeCell ref="A30:C30"/>
    <mergeCell ref="B31:C31"/>
    <mergeCell ref="B32:C32"/>
  </mergeCells>
  <printOptions horizontalCentered="1"/>
  <pageMargins left="0.31496062992125984" right="0.35433070866141736" top="1.1811023622047245" bottom="1.1811023622047245" header="0.31496062992125984" footer="0.31496062992125984"/>
  <pageSetup paperSize="9" scale="68"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8"/>
  <sheetViews>
    <sheetView view="pageBreakPreview" zoomScaleNormal="84" zoomScaleSheetLayoutView="100" workbookViewId="0">
      <selection sqref="A1:K1"/>
    </sheetView>
  </sheetViews>
  <sheetFormatPr defaultRowHeight="15" x14ac:dyDescent="0.2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3.42578125" style="250" customWidth="1"/>
    <col min="11" max="11" width="9.140625" style="251"/>
    <col min="12" max="12" width="9.140625" style="190"/>
    <col min="13" max="13" width="9.140625" style="191"/>
    <col min="14" max="16384" width="9.140625" style="190"/>
  </cols>
  <sheetData>
    <row r="1" spans="1:13" ht="36" customHeight="1" thickBot="1" x14ac:dyDescent="0.3">
      <c r="A1" s="516" t="s">
        <v>153</v>
      </c>
      <c r="B1" s="517"/>
      <c r="C1" s="517"/>
      <c r="D1" s="517"/>
      <c r="E1" s="517"/>
      <c r="F1" s="517"/>
      <c r="G1" s="517"/>
      <c r="H1" s="517"/>
      <c r="I1" s="517"/>
      <c r="J1" s="517"/>
      <c r="K1" s="518"/>
    </row>
    <row r="2" spans="1:13" ht="43.5" customHeight="1" x14ac:dyDescent="0.25">
      <c r="A2" s="494" t="s">
        <v>20</v>
      </c>
      <c r="B2" s="476" t="s">
        <v>21</v>
      </c>
      <c r="C2" s="476" t="s">
        <v>6</v>
      </c>
      <c r="D2" s="476" t="s">
        <v>27</v>
      </c>
      <c r="E2" s="479" t="s">
        <v>22</v>
      </c>
      <c r="F2" s="479" t="s">
        <v>65</v>
      </c>
      <c r="G2" s="265" t="s">
        <v>74</v>
      </c>
      <c r="H2" s="479" t="s">
        <v>23</v>
      </c>
      <c r="I2" s="485" t="s">
        <v>24</v>
      </c>
      <c r="J2" s="488" t="s">
        <v>40</v>
      </c>
      <c r="K2" s="491" t="s">
        <v>25</v>
      </c>
    </row>
    <row r="3" spans="1:13" ht="29.25" customHeight="1" x14ac:dyDescent="0.25">
      <c r="A3" s="495"/>
      <c r="B3" s="477"/>
      <c r="C3" s="477"/>
      <c r="D3" s="477"/>
      <c r="E3" s="480"/>
      <c r="F3" s="480"/>
      <c r="G3" s="116">
        <v>20.09</v>
      </c>
      <c r="H3" s="480"/>
      <c r="I3" s="486"/>
      <c r="J3" s="489"/>
      <c r="K3" s="492"/>
    </row>
    <row r="4" spans="1:13" ht="9" hidden="1" customHeight="1" x14ac:dyDescent="0.25">
      <c r="A4" s="496"/>
      <c r="B4" s="478"/>
      <c r="C4" s="478"/>
      <c r="D4" s="478"/>
      <c r="E4" s="481"/>
      <c r="F4" s="481"/>
      <c r="G4" s="195">
        <f>(G3/100)+1</f>
        <v>1.2009000000000001</v>
      </c>
      <c r="H4" s="481"/>
      <c r="I4" s="487"/>
      <c r="J4" s="490"/>
      <c r="K4" s="493"/>
    </row>
    <row r="5" spans="1:13" x14ac:dyDescent="0.25">
      <c r="A5" s="79" t="s">
        <v>84</v>
      </c>
      <c r="B5" s="266"/>
      <c r="C5" s="266"/>
      <c r="D5" s="396" t="s">
        <v>13</v>
      </c>
      <c r="E5" s="397"/>
      <c r="F5" s="397"/>
      <c r="G5" s="397"/>
      <c r="H5" s="268"/>
      <c r="I5" s="269"/>
      <c r="J5" s="84"/>
      <c r="K5" s="85"/>
    </row>
    <row r="6" spans="1:13" ht="25.5" x14ac:dyDescent="0.25">
      <c r="A6" s="88" t="s">
        <v>85</v>
      </c>
      <c r="B6" s="146"/>
      <c r="C6" s="211"/>
      <c r="D6" s="217" t="s">
        <v>68</v>
      </c>
      <c r="E6" s="211"/>
      <c r="F6" s="202"/>
      <c r="G6" s="202"/>
      <c r="H6" s="202"/>
      <c r="I6" s="212"/>
      <c r="J6" s="212"/>
      <c r="K6" s="147"/>
    </row>
    <row r="7" spans="1:13" ht="27.75" customHeight="1" x14ac:dyDescent="0.25">
      <c r="A7" s="72" t="s">
        <v>31</v>
      </c>
      <c r="B7" s="125" t="s">
        <v>100</v>
      </c>
      <c r="C7" s="200" t="s">
        <v>7</v>
      </c>
      <c r="D7" s="271" t="e">
        <f>LOOKUP(C7,#REF!,#REF!)</f>
        <v>#REF!</v>
      </c>
      <c r="E7" s="270" t="e">
        <f>LOOKUP(C7,#REF!,#REF!)</f>
        <v>#REF!</v>
      </c>
      <c r="F7" s="272"/>
      <c r="G7" s="138">
        <f>F7*G4</f>
        <v>0</v>
      </c>
      <c r="H7" s="202">
        <f>H8*0.3</f>
        <v>3</v>
      </c>
      <c r="I7" s="139">
        <f>G7*H7</f>
        <v>0</v>
      </c>
      <c r="J7" s="212"/>
      <c r="K7" s="132" t="e">
        <f>I7/J33</f>
        <v>#DIV/0!</v>
      </c>
      <c r="M7" s="191">
        <f t="shared" ref="M7:M26" si="0">F7*0.765</f>
        <v>0</v>
      </c>
    </row>
    <row r="8" spans="1:13" ht="27" thickBot="1" x14ac:dyDescent="0.3">
      <c r="A8" s="72" t="s">
        <v>32</v>
      </c>
      <c r="B8" s="125" t="s">
        <v>100</v>
      </c>
      <c r="C8" s="128" t="s">
        <v>98</v>
      </c>
      <c r="D8" s="271" t="e">
        <f>LOOKUP(C8,#REF!,#REF!)</f>
        <v>#REF!</v>
      </c>
      <c r="E8" s="270" t="e">
        <f>LOOKUP(C8,#REF!,#REF!)</f>
        <v>#REF!</v>
      </c>
      <c r="F8" s="272"/>
      <c r="G8" s="138">
        <f>F8*G4</f>
        <v>0</v>
      </c>
      <c r="H8" s="202">
        <v>10</v>
      </c>
      <c r="I8" s="139">
        <f>G8*H8</f>
        <v>0</v>
      </c>
      <c r="J8" s="212"/>
      <c r="K8" s="132" t="e">
        <f>I8/J33</f>
        <v>#DIV/0!</v>
      </c>
      <c r="M8" s="191">
        <f t="shared" si="0"/>
        <v>0</v>
      </c>
    </row>
    <row r="9" spans="1:13" ht="15.75" thickBot="1" x14ac:dyDescent="0.3">
      <c r="A9" s="467"/>
      <c r="B9" s="522"/>
      <c r="C9" s="522"/>
      <c r="D9" s="522"/>
      <c r="E9" s="523"/>
      <c r="F9" s="274"/>
      <c r="G9" s="274"/>
      <c r="H9" s="58" t="s">
        <v>73</v>
      </c>
      <c r="I9" s="46"/>
      <c r="J9" s="279">
        <f>SUM(I7:I8)</f>
        <v>0</v>
      </c>
      <c r="K9" s="76" t="e">
        <f>J9/J33</f>
        <v>#DIV/0!</v>
      </c>
    </row>
    <row r="10" spans="1:13" x14ac:dyDescent="0.25">
      <c r="A10" s="282" t="s">
        <v>86</v>
      </c>
      <c r="B10" s="275"/>
      <c r="C10" s="280"/>
      <c r="D10" s="91" t="s">
        <v>78</v>
      </c>
      <c r="E10" s="283"/>
      <c r="F10" s="272"/>
      <c r="G10" s="272"/>
      <c r="H10" s="272"/>
      <c r="I10" s="276"/>
      <c r="J10" s="276"/>
      <c r="K10" s="87"/>
    </row>
    <row r="11" spans="1:13" ht="27" thickBot="1" x14ac:dyDescent="0.3">
      <c r="A11" s="284" t="s">
        <v>33</v>
      </c>
      <c r="B11" s="125" t="s">
        <v>100</v>
      </c>
      <c r="C11" s="270" t="s">
        <v>1</v>
      </c>
      <c r="D11" s="271" t="e">
        <f>LOOKUP(C11,#REF!,#REF!)</f>
        <v>#REF!</v>
      </c>
      <c r="E11" s="270" t="e">
        <f>LOOKUP(C11,#REF!,#REF!)</f>
        <v>#REF!</v>
      </c>
      <c r="F11" s="272"/>
      <c r="G11" s="28">
        <f>F11*G4</f>
        <v>0</v>
      </c>
      <c r="H11" s="272">
        <v>3557.37</v>
      </c>
      <c r="I11" s="45">
        <f>G11*H11</f>
        <v>0</v>
      </c>
      <c r="J11" s="276"/>
      <c r="K11" s="71" t="e">
        <f>I11/J33</f>
        <v>#DIV/0!</v>
      </c>
      <c r="M11" s="191">
        <f t="shared" si="0"/>
        <v>0</v>
      </c>
    </row>
    <row r="12" spans="1:13" ht="15.75" thickBot="1" x14ac:dyDescent="0.3">
      <c r="A12" s="223"/>
      <c r="B12" s="224"/>
      <c r="C12" s="224"/>
      <c r="D12" s="225"/>
      <c r="E12" s="226"/>
      <c r="F12" s="206"/>
      <c r="G12" s="206"/>
      <c r="H12" s="207" t="s">
        <v>61</v>
      </c>
      <c r="I12" s="215"/>
      <c r="J12" s="216">
        <f>SUM(I11:I11)</f>
        <v>0</v>
      </c>
      <c r="K12" s="210" t="e">
        <f>J12/J33</f>
        <v>#DIV/0!</v>
      </c>
    </row>
    <row r="13" spans="1:13" x14ac:dyDescent="0.25">
      <c r="A13" s="219" t="s">
        <v>87</v>
      </c>
      <c r="B13" s="211"/>
      <c r="C13" s="211"/>
      <c r="D13" s="220" t="s">
        <v>15</v>
      </c>
      <c r="E13" s="211"/>
      <c r="F13" s="202"/>
      <c r="G13" s="202"/>
      <c r="H13" s="202"/>
      <c r="I13" s="212"/>
      <c r="J13" s="212"/>
      <c r="K13" s="147"/>
    </row>
    <row r="14" spans="1:13" ht="39" x14ac:dyDescent="0.25">
      <c r="A14" s="222" t="s">
        <v>37</v>
      </c>
      <c r="B14" s="125" t="s">
        <v>100</v>
      </c>
      <c r="C14" s="200" t="s">
        <v>3</v>
      </c>
      <c r="D14" s="271" t="e">
        <f>LOOKUP(C14,#REF!,#REF!)</f>
        <v>#REF!</v>
      </c>
      <c r="E14" s="270" t="e">
        <f>LOOKUP(C14,#REF!,#REF!)</f>
        <v>#REF!</v>
      </c>
      <c r="F14" s="272"/>
      <c r="G14" s="138">
        <f>F14*G4</f>
        <v>0</v>
      </c>
      <c r="H14" s="202">
        <v>3557.37</v>
      </c>
      <c r="I14" s="139">
        <f>G14*H14</f>
        <v>0</v>
      </c>
      <c r="J14" s="212"/>
      <c r="K14" s="132" t="e">
        <f>I14/J33</f>
        <v>#DIV/0!</v>
      </c>
      <c r="M14" s="191">
        <f t="shared" si="0"/>
        <v>0</v>
      </c>
    </row>
    <row r="15" spans="1:13" ht="76.5" x14ac:dyDescent="0.25">
      <c r="A15" s="222" t="s">
        <v>38</v>
      </c>
      <c r="B15" s="127" t="s">
        <v>101</v>
      </c>
      <c r="C15" s="205">
        <v>94274</v>
      </c>
      <c r="D15" s="227" t="s">
        <v>5</v>
      </c>
      <c r="E15" s="200" t="s">
        <v>0</v>
      </c>
      <c r="F15" s="202"/>
      <c r="G15" s="138">
        <f>F15*G4</f>
        <v>0</v>
      </c>
      <c r="H15" s="202">
        <v>5</v>
      </c>
      <c r="I15" s="139">
        <f t="shared" ref="I15:I18" si="1">G15*H15</f>
        <v>0</v>
      </c>
      <c r="J15" s="212"/>
      <c r="K15" s="132" t="e">
        <f>I15/J33</f>
        <v>#DIV/0!</v>
      </c>
      <c r="M15" s="191">
        <f t="shared" si="0"/>
        <v>0</v>
      </c>
    </row>
    <row r="16" spans="1:13" ht="76.5" x14ac:dyDescent="0.25">
      <c r="A16" s="222" t="s">
        <v>39</v>
      </c>
      <c r="B16" s="127" t="s">
        <v>101</v>
      </c>
      <c r="C16" s="205">
        <v>94275</v>
      </c>
      <c r="D16" s="227" t="s">
        <v>79</v>
      </c>
      <c r="E16" s="200" t="s">
        <v>0</v>
      </c>
      <c r="F16" s="202"/>
      <c r="G16" s="138">
        <f>F16*G4</f>
        <v>0</v>
      </c>
      <c r="H16" s="202">
        <v>75</v>
      </c>
      <c r="I16" s="139">
        <f t="shared" si="1"/>
        <v>0</v>
      </c>
      <c r="J16" s="212"/>
      <c r="K16" s="132" t="e">
        <f>I16/J33</f>
        <v>#DIV/0!</v>
      </c>
      <c r="M16" s="191">
        <f t="shared" si="0"/>
        <v>0</v>
      </c>
    </row>
    <row r="17" spans="1:14" x14ac:dyDescent="0.25">
      <c r="A17" s="222" t="s">
        <v>111</v>
      </c>
      <c r="B17" s="200" t="s">
        <v>66</v>
      </c>
      <c r="C17" s="256">
        <v>62304</v>
      </c>
      <c r="D17" s="257" t="s">
        <v>67</v>
      </c>
      <c r="E17" s="218" t="s">
        <v>12</v>
      </c>
      <c r="F17" s="258"/>
      <c r="G17" s="138">
        <f>F17*G4</f>
        <v>0</v>
      </c>
      <c r="H17" s="202">
        <v>2</v>
      </c>
      <c r="I17" s="139">
        <f t="shared" si="1"/>
        <v>0</v>
      </c>
      <c r="J17" s="212"/>
      <c r="K17" s="132"/>
      <c r="M17" s="191">
        <f t="shared" si="0"/>
        <v>0</v>
      </c>
    </row>
    <row r="18" spans="1:14" ht="27" thickBot="1" x14ac:dyDescent="0.3">
      <c r="A18" s="222" t="s">
        <v>112</v>
      </c>
      <c r="B18" s="125" t="s">
        <v>100</v>
      </c>
      <c r="C18" s="200" t="s">
        <v>2</v>
      </c>
      <c r="D18" s="271" t="e">
        <f>LOOKUP(C18,#REF!,#REF!)</f>
        <v>#REF!</v>
      </c>
      <c r="E18" s="270" t="e">
        <f>LOOKUP(C18,#REF!,#REF!)</f>
        <v>#REF!</v>
      </c>
      <c r="F18" s="272"/>
      <c r="G18" s="138">
        <f>F18*G4</f>
        <v>0</v>
      </c>
      <c r="H18" s="202">
        <f>(H15+H16)*0.3*0.11</f>
        <v>2.64</v>
      </c>
      <c r="I18" s="139">
        <f t="shared" si="1"/>
        <v>0</v>
      </c>
      <c r="J18" s="212"/>
      <c r="K18" s="132" t="e">
        <f>I18/J33</f>
        <v>#DIV/0!</v>
      </c>
      <c r="M18" s="191">
        <f t="shared" si="0"/>
        <v>0</v>
      </c>
    </row>
    <row r="19" spans="1:14" ht="15.75" thickBot="1" x14ac:dyDescent="0.3">
      <c r="A19" s="92"/>
      <c r="B19" s="285"/>
      <c r="C19" s="285"/>
      <c r="D19" s="286"/>
      <c r="E19" s="287"/>
      <c r="F19" s="274"/>
      <c r="G19" s="274"/>
      <c r="H19" s="58" t="s">
        <v>62</v>
      </c>
      <c r="I19" s="46"/>
      <c r="J19" s="279">
        <f>SUM(I14:I18)</f>
        <v>0</v>
      </c>
      <c r="K19" s="76" t="e">
        <f>J19/J33</f>
        <v>#DIV/0!</v>
      </c>
    </row>
    <row r="20" spans="1:14" x14ac:dyDescent="0.25">
      <c r="A20" s="219" t="s">
        <v>88</v>
      </c>
      <c r="B20" s="211"/>
      <c r="C20" s="211"/>
      <c r="D20" s="228" t="s">
        <v>128</v>
      </c>
      <c r="E20" s="211"/>
      <c r="F20" s="202"/>
      <c r="G20" s="202"/>
      <c r="H20" s="202"/>
      <c r="I20" s="212"/>
      <c r="J20" s="212"/>
      <c r="K20" s="147"/>
    </row>
    <row r="21" spans="1:14" ht="25.5" x14ac:dyDescent="0.25">
      <c r="A21" s="222" t="s">
        <v>41</v>
      </c>
      <c r="B21" s="135" t="s">
        <v>101</v>
      </c>
      <c r="C21" s="200">
        <v>72947</v>
      </c>
      <c r="D21" s="201" t="s">
        <v>69</v>
      </c>
      <c r="E21" s="200" t="s">
        <v>9</v>
      </c>
      <c r="F21" s="202"/>
      <c r="G21" s="138">
        <f>F21*G4</f>
        <v>0</v>
      </c>
      <c r="H21" s="202">
        <v>78.599999999999994</v>
      </c>
      <c r="I21" s="139">
        <f>G21*H21</f>
        <v>0</v>
      </c>
      <c r="J21" s="212"/>
      <c r="K21" s="132" t="e">
        <f>I21/J33</f>
        <v>#DIV/0!</v>
      </c>
      <c r="M21" s="191">
        <f t="shared" si="0"/>
        <v>0</v>
      </c>
    </row>
    <row r="22" spans="1:14" ht="26.25" x14ac:dyDescent="0.25">
      <c r="A22" s="222" t="s">
        <v>42</v>
      </c>
      <c r="B22" s="125" t="s">
        <v>100</v>
      </c>
      <c r="C22" s="200" t="s">
        <v>11</v>
      </c>
      <c r="D22" s="271" t="e">
        <f>LOOKUP(C22,#REF!,#REF!)</f>
        <v>#REF!</v>
      </c>
      <c r="E22" s="270" t="e">
        <f>LOOKUP(C22,#REF!,#REF!)</f>
        <v>#REF!</v>
      </c>
      <c r="F22" s="351"/>
      <c r="G22" s="138">
        <f>F22*G4</f>
        <v>0</v>
      </c>
      <c r="H22" s="202">
        <v>0.28000000000000003</v>
      </c>
      <c r="I22" s="139">
        <f t="shared" ref="I22:I31" si="2">G22*H22</f>
        <v>0</v>
      </c>
      <c r="J22" s="212"/>
      <c r="K22" s="132" t="e">
        <f>I22/J33</f>
        <v>#DIV/0!</v>
      </c>
      <c r="M22" s="191">
        <f t="shared" si="0"/>
        <v>0</v>
      </c>
    </row>
    <row r="23" spans="1:14" x14ac:dyDescent="0.25">
      <c r="A23" s="222" t="s">
        <v>43</v>
      </c>
      <c r="B23" s="125" t="s">
        <v>100</v>
      </c>
      <c r="C23" s="213" t="s">
        <v>19</v>
      </c>
      <c r="D23" s="271" t="e">
        <f>LOOKUP(C23,#REF!,#REF!)</f>
        <v>#REF!</v>
      </c>
      <c r="E23" s="270" t="e">
        <f>LOOKUP(C23,#REF!,#REF!)</f>
        <v>#REF!</v>
      </c>
      <c r="F23" s="351"/>
      <c r="G23" s="138">
        <f>F23*G4</f>
        <v>0</v>
      </c>
      <c r="H23" s="202">
        <f>8*3</f>
        <v>24</v>
      </c>
      <c r="I23" s="139">
        <f t="shared" si="2"/>
        <v>0</v>
      </c>
      <c r="J23" s="212"/>
      <c r="K23" s="132" t="e">
        <f>I23/J33</f>
        <v>#DIV/0!</v>
      </c>
      <c r="M23" s="191">
        <f t="shared" si="0"/>
        <v>0</v>
      </c>
    </row>
    <row r="24" spans="1:14" ht="26.25" x14ac:dyDescent="0.25">
      <c r="A24" s="222" t="s">
        <v>44</v>
      </c>
      <c r="B24" s="125" t="s">
        <v>100</v>
      </c>
      <c r="C24" s="213" t="s">
        <v>95</v>
      </c>
      <c r="D24" s="271" t="e">
        <f>LOOKUP(C24,#REF!,#REF!)</f>
        <v>#REF!</v>
      </c>
      <c r="E24" s="270" t="e">
        <f>LOOKUP(C24,#REF!,#REF!)</f>
        <v>#REF!</v>
      </c>
      <c r="F24" s="351"/>
      <c r="G24" s="138">
        <f>F24*G4</f>
        <v>0</v>
      </c>
      <c r="H24" s="202">
        <f>8*0.5</f>
        <v>4</v>
      </c>
      <c r="I24" s="139">
        <f>G24*H24</f>
        <v>0</v>
      </c>
      <c r="J24" s="212"/>
      <c r="K24" s="132" t="e">
        <f>I24/J33</f>
        <v>#DIV/0!</v>
      </c>
    </row>
    <row r="25" spans="1:14" s="6" customFormat="1" ht="25.5" x14ac:dyDescent="0.25">
      <c r="A25" s="222" t="s">
        <v>45</v>
      </c>
      <c r="B25" s="135" t="s">
        <v>101</v>
      </c>
      <c r="C25" s="213" t="s">
        <v>105</v>
      </c>
      <c r="D25" s="214" t="s">
        <v>57</v>
      </c>
      <c r="E25" s="218" t="s">
        <v>12</v>
      </c>
      <c r="F25" s="202"/>
      <c r="G25" s="138">
        <f>F25*G4</f>
        <v>0</v>
      </c>
      <c r="H25" s="202">
        <v>14</v>
      </c>
      <c r="I25" s="139">
        <f t="shared" si="2"/>
        <v>0</v>
      </c>
      <c r="J25" s="212"/>
      <c r="K25" s="132" t="e">
        <f>I25/J33</f>
        <v>#DIV/0!</v>
      </c>
      <c r="M25" s="191">
        <f t="shared" si="0"/>
        <v>0</v>
      </c>
      <c r="N25" s="6">
        <v>10</v>
      </c>
    </row>
    <row r="26" spans="1:14" s="6" customFormat="1" ht="26.25" x14ac:dyDescent="0.25">
      <c r="A26" s="222" t="s">
        <v>46</v>
      </c>
      <c r="B26" s="125" t="s">
        <v>100</v>
      </c>
      <c r="C26" s="200" t="s">
        <v>10</v>
      </c>
      <c r="D26" s="271" t="s">
        <v>58</v>
      </c>
      <c r="E26" s="270" t="e">
        <f>LOOKUP(C26,#REF!,#REF!)</f>
        <v>#REF!</v>
      </c>
      <c r="F26" s="351"/>
      <c r="G26" s="138">
        <f>F26*G4</f>
        <v>0</v>
      </c>
      <c r="H26" s="202">
        <v>175.9</v>
      </c>
      <c r="I26" s="139">
        <f t="shared" si="2"/>
        <v>0</v>
      </c>
      <c r="J26" s="212"/>
      <c r="K26" s="132" t="e">
        <f>I26/J33</f>
        <v>#DIV/0!</v>
      </c>
      <c r="M26" s="191">
        <f t="shared" si="0"/>
        <v>0</v>
      </c>
    </row>
    <row r="27" spans="1:14" s="6" customFormat="1" ht="25.5" x14ac:dyDescent="0.25">
      <c r="A27" s="222" t="s">
        <v>117</v>
      </c>
      <c r="B27" s="125" t="s">
        <v>100</v>
      </c>
      <c r="C27" s="128" t="s">
        <v>96</v>
      </c>
      <c r="D27" s="201" t="e">
        <f>LOOKUP(C27,#REF!,#REF!)</f>
        <v>#REF!</v>
      </c>
      <c r="E27" s="200" t="e">
        <f>LOOKUP(C27,#REF!,#REF!)</f>
        <v>#REF!</v>
      </c>
      <c r="F27" s="202"/>
      <c r="G27" s="138">
        <f>F27*$G$4</f>
        <v>0</v>
      </c>
      <c r="H27" s="353">
        <f>1.13*N25</f>
        <v>11.299999999999999</v>
      </c>
      <c r="I27" s="139">
        <f t="shared" si="2"/>
        <v>0</v>
      </c>
      <c r="J27" s="212"/>
      <c r="K27" s="132" t="e">
        <f>I27/$J$33</f>
        <v>#DIV/0!</v>
      </c>
      <c r="M27" s="191"/>
    </row>
    <row r="28" spans="1:14" s="6" customFormat="1" ht="38.25" x14ac:dyDescent="0.25">
      <c r="A28" s="222" t="s">
        <v>118</v>
      </c>
      <c r="B28" s="125" t="s">
        <v>100</v>
      </c>
      <c r="C28" s="128" t="s">
        <v>97</v>
      </c>
      <c r="D28" s="201" t="e">
        <f>LOOKUP(C28,#REF!,#REF!)</f>
        <v>#REF!</v>
      </c>
      <c r="E28" s="200" t="e">
        <f>LOOKUP(C28,#REF!,#REF!)</f>
        <v>#REF!</v>
      </c>
      <c r="F28" s="202"/>
      <c r="G28" s="138">
        <f>F28*$G$4</f>
        <v>0</v>
      </c>
      <c r="H28" s="353">
        <f>1.13*N25</f>
        <v>11.299999999999999</v>
      </c>
      <c r="I28" s="139">
        <f t="shared" si="2"/>
        <v>0</v>
      </c>
      <c r="J28" s="212"/>
      <c r="K28" s="132" t="e">
        <f>I28/$J$33</f>
        <v>#DIV/0!</v>
      </c>
      <c r="M28" s="191"/>
    </row>
    <row r="29" spans="1:14" s="6" customFormat="1" x14ac:dyDescent="0.25">
      <c r="A29" s="222" t="s">
        <v>119</v>
      </c>
      <c r="B29" s="125" t="s">
        <v>100</v>
      </c>
      <c r="C29" s="128" t="s">
        <v>94</v>
      </c>
      <c r="D29" s="201" t="e">
        <f>LOOKUP(C29,#REF!,#REF!)</f>
        <v>#REF!</v>
      </c>
      <c r="E29" s="200" t="e">
        <f>LOOKUP(C29,#REF!,#REF!)</f>
        <v>#REF!</v>
      </c>
      <c r="F29" s="202"/>
      <c r="G29" s="138">
        <f>F29*$G$4</f>
        <v>0</v>
      </c>
      <c r="H29" s="353">
        <f>0.26*N25</f>
        <v>2.6</v>
      </c>
      <c r="I29" s="139">
        <f t="shared" si="2"/>
        <v>0</v>
      </c>
      <c r="J29" s="212"/>
      <c r="K29" s="132" t="e">
        <f>I29/$J$33</f>
        <v>#DIV/0!</v>
      </c>
      <c r="M29" s="191"/>
    </row>
    <row r="30" spans="1:14" s="6" customFormat="1" x14ac:dyDescent="0.25">
      <c r="A30" s="222" t="s">
        <v>120</v>
      </c>
      <c r="B30" s="125" t="s">
        <v>100</v>
      </c>
      <c r="C30" s="128" t="s">
        <v>92</v>
      </c>
      <c r="D30" s="201" t="e">
        <f>LOOKUP(C30,#REF!,#REF!)</f>
        <v>#REF!</v>
      </c>
      <c r="E30" s="200" t="e">
        <f>LOOKUP(C30,#REF!,#REF!)</f>
        <v>#REF!</v>
      </c>
      <c r="F30" s="202"/>
      <c r="G30" s="138">
        <f>F30*$G$4</f>
        <v>0</v>
      </c>
      <c r="H30" s="353">
        <f>0.97*N25</f>
        <v>9.6999999999999993</v>
      </c>
      <c r="I30" s="139">
        <f t="shared" si="2"/>
        <v>0</v>
      </c>
      <c r="J30" s="212"/>
      <c r="K30" s="132" t="e">
        <f>I30/$J$33</f>
        <v>#DIV/0!</v>
      </c>
      <c r="M30" s="191"/>
    </row>
    <row r="31" spans="1:14" s="6" customFormat="1" ht="26.25" thickBot="1" x14ac:dyDescent="0.3">
      <c r="A31" s="222" t="s">
        <v>121</v>
      </c>
      <c r="B31" s="125" t="s">
        <v>100</v>
      </c>
      <c r="C31" s="128" t="s">
        <v>93</v>
      </c>
      <c r="D31" s="201" t="e">
        <f>LOOKUP(C31,#REF!,#REF!)</f>
        <v>#REF!</v>
      </c>
      <c r="E31" s="200" t="e">
        <f>LOOKUP(C31,#REF!,#REF!)</f>
        <v>#REF!</v>
      </c>
      <c r="F31" s="202"/>
      <c r="G31" s="138">
        <f>F31*$G$4</f>
        <v>0</v>
      </c>
      <c r="H31" s="353">
        <f>0.97*N25</f>
        <v>9.6999999999999993</v>
      </c>
      <c r="I31" s="139">
        <f t="shared" si="2"/>
        <v>0</v>
      </c>
      <c r="J31" s="212"/>
      <c r="K31" s="132" t="e">
        <f>I31/$J$33</f>
        <v>#DIV/0!</v>
      </c>
      <c r="M31" s="191"/>
    </row>
    <row r="32" spans="1:14" s="6" customFormat="1" ht="15.75" customHeight="1" thickBot="1" x14ac:dyDescent="0.3">
      <c r="A32" s="467"/>
      <c r="B32" s="522"/>
      <c r="C32" s="522"/>
      <c r="D32" s="522"/>
      <c r="E32" s="523"/>
      <c r="F32" s="274"/>
      <c r="G32" s="274"/>
      <c r="H32" s="58" t="s">
        <v>63</v>
      </c>
      <c r="I32" s="46"/>
      <c r="J32" s="279">
        <f>SUM(I21:I31)</f>
        <v>0</v>
      </c>
      <c r="K32" s="76" t="e">
        <f>J32/J33</f>
        <v>#DIV/0!</v>
      </c>
      <c r="M32" s="186"/>
    </row>
    <row r="33" spans="1:11" ht="15.75" thickBot="1" x14ac:dyDescent="0.3">
      <c r="A33" s="470" t="s">
        <v>129</v>
      </c>
      <c r="B33" s="471"/>
      <c r="C33" s="471"/>
      <c r="D33" s="471"/>
      <c r="E33" s="471"/>
      <c r="F33" s="471"/>
      <c r="G33" s="471"/>
      <c r="H33" s="471"/>
      <c r="I33" s="472"/>
      <c r="J33" s="77">
        <f>SUM(J5:J32)</f>
        <v>0</v>
      </c>
      <c r="K33" s="78" t="e">
        <f>K9+K12+K19+K32</f>
        <v>#DIV/0!</v>
      </c>
    </row>
    <row r="34" spans="1:11" x14ac:dyDescent="0.25">
      <c r="A34" s="259"/>
      <c r="B34" s="260"/>
      <c r="C34" s="259"/>
      <c r="D34" s="261"/>
      <c r="E34" s="259"/>
      <c r="F34" s="260"/>
      <c r="G34" s="260"/>
      <c r="H34" s="260"/>
      <c r="I34" s="262"/>
      <c r="J34" s="263"/>
      <c r="K34" s="264"/>
    </row>
    <row r="35" spans="1:11" x14ac:dyDescent="0.25">
      <c r="A35" s="514" t="s">
        <v>64</v>
      </c>
      <c r="B35" s="515"/>
      <c r="C35" s="515"/>
      <c r="D35" s="331"/>
      <c r="E35" s="361"/>
      <c r="F35" s="361"/>
      <c r="G35" s="361"/>
      <c r="H35" s="499" t="s">
        <v>167</v>
      </c>
      <c r="I35" s="499"/>
      <c r="J35" s="499"/>
      <c r="K35" s="499"/>
    </row>
    <row r="36" spans="1:11" x14ac:dyDescent="0.25">
      <c r="A36" s="331"/>
      <c r="B36" s="497" t="s">
        <v>102</v>
      </c>
      <c r="C36" s="497"/>
      <c r="D36" s="332"/>
      <c r="E36" s="332"/>
      <c r="F36" s="332"/>
      <c r="G36" s="332"/>
      <c r="H36" s="332"/>
      <c r="I36" s="332"/>
      <c r="J36" s="332"/>
      <c r="K36" s="332"/>
    </row>
    <row r="37" spans="1:11" x14ac:dyDescent="0.25">
      <c r="A37" s="331"/>
      <c r="B37" s="498" t="s">
        <v>103</v>
      </c>
      <c r="C37" s="498"/>
      <c r="D37" s="332"/>
      <c r="E37" s="332"/>
      <c r="F37" s="332"/>
      <c r="G37" s="332"/>
      <c r="H37" s="332"/>
      <c r="I37" s="332"/>
      <c r="J37" s="332"/>
      <c r="K37" s="332"/>
    </row>
    <row r="38" spans="1:11" x14ac:dyDescent="0.25">
      <c r="A38" s="333"/>
      <c r="B38" s="498" t="s">
        <v>104</v>
      </c>
      <c r="C38" s="498"/>
      <c r="D38" s="332"/>
      <c r="E38" s="332"/>
      <c r="F38" s="332"/>
      <c r="G38" s="332"/>
      <c r="H38" s="332"/>
      <c r="I38" s="332"/>
      <c r="J38" s="332"/>
      <c r="K38" s="332"/>
    </row>
    <row r="39" spans="1:11" x14ac:dyDescent="0.25">
      <c r="A39" s="182"/>
      <c r="D39" s="362"/>
      <c r="E39" s="360"/>
      <c r="F39" s="401"/>
      <c r="G39" s="401"/>
      <c r="H39" s="6"/>
      <c r="I39" s="243"/>
      <c r="J39" s="244"/>
      <c r="K39" s="241"/>
    </row>
    <row r="40" spans="1:11" x14ac:dyDescent="0.25">
      <c r="A40" s="182"/>
      <c r="D40" s="403"/>
      <c r="E40" s="403"/>
      <c r="F40" s="402"/>
      <c r="G40" s="533"/>
      <c r="H40" s="403"/>
      <c r="I40" s="403"/>
      <c r="J40" s="403"/>
      <c r="K40" s="403"/>
    </row>
    <row r="41" spans="1:11" ht="15" customHeight="1" x14ac:dyDescent="0.25">
      <c r="A41" s="182"/>
      <c r="D41" s="403"/>
      <c r="E41" s="403"/>
      <c r="F41" s="401"/>
      <c r="G41" s="536"/>
      <c r="H41" s="403"/>
      <c r="I41" s="403"/>
      <c r="J41" s="403"/>
      <c r="K41" s="403"/>
    </row>
    <row r="42" spans="1:11" ht="15" customHeight="1" x14ac:dyDescent="0.25">
      <c r="A42" s="182"/>
      <c r="B42" s="240"/>
      <c r="C42" s="182"/>
      <c r="D42" s="403"/>
      <c r="E42" s="403"/>
      <c r="F42" s="401"/>
      <c r="G42" s="401"/>
      <c r="H42" s="414"/>
      <c r="I42" s="414"/>
      <c r="J42" s="414"/>
      <c r="K42" s="414"/>
    </row>
    <row r="43" spans="1:11" x14ac:dyDescent="0.25">
      <c r="A43" s="182"/>
      <c r="B43" s="240"/>
      <c r="C43" s="182"/>
      <c r="D43" s="362"/>
      <c r="E43" s="360"/>
      <c r="F43" s="401"/>
      <c r="G43" s="401"/>
      <c r="H43" s="6"/>
      <c r="I43" s="243"/>
      <c r="J43" s="244"/>
      <c r="K43" s="241"/>
    </row>
    <row r="44" spans="1:11" x14ac:dyDescent="0.25">
      <c r="A44" s="182"/>
      <c r="B44" s="240"/>
      <c r="C44" s="182"/>
      <c r="D44" s="362"/>
      <c r="E44" s="360"/>
      <c r="F44" s="401"/>
      <c r="G44" s="401"/>
      <c r="H44" s="6"/>
      <c r="I44" s="243"/>
      <c r="J44" s="244"/>
      <c r="K44" s="241"/>
    </row>
    <row r="45" spans="1:11" x14ac:dyDescent="0.25">
      <c r="B45" s="240"/>
      <c r="C45" s="182"/>
      <c r="D45" s="362"/>
      <c r="E45" s="360"/>
      <c r="F45" s="401"/>
      <c r="G45" s="401"/>
      <c r="H45" s="6"/>
      <c r="I45" s="243"/>
      <c r="J45" s="244"/>
      <c r="K45" s="241"/>
    </row>
    <row r="46" spans="1:11" x14ac:dyDescent="0.25">
      <c r="A46" s="182"/>
      <c r="B46" s="240"/>
      <c r="C46" s="182"/>
      <c r="D46" s="362"/>
      <c r="E46" s="360"/>
      <c r="F46" s="401"/>
      <c r="G46" s="401"/>
      <c r="H46" s="403"/>
      <c r="I46" s="403"/>
      <c r="J46" s="403"/>
      <c r="K46" s="403"/>
    </row>
    <row r="47" spans="1:11" x14ac:dyDescent="0.25">
      <c r="A47" s="182"/>
      <c r="B47" s="240"/>
      <c r="C47" s="182"/>
      <c r="D47" s="362"/>
      <c r="E47" s="360"/>
      <c r="F47" s="401"/>
      <c r="G47" s="401"/>
      <c r="H47" s="403"/>
      <c r="I47" s="403"/>
      <c r="J47" s="403"/>
      <c r="K47" s="403"/>
    </row>
    <row r="48" spans="1:11" x14ac:dyDescent="0.25">
      <c r="D48" s="362"/>
      <c r="E48" s="360"/>
      <c r="F48" s="401"/>
      <c r="G48" s="401"/>
      <c r="H48" s="403"/>
      <c r="I48" s="403"/>
      <c r="J48" s="403"/>
      <c r="K48" s="403"/>
    </row>
  </sheetData>
  <mergeCells count="28">
    <mergeCell ref="H46:K46"/>
    <mergeCell ref="H47:K47"/>
    <mergeCell ref="H48:K48"/>
    <mergeCell ref="D40:E40"/>
    <mergeCell ref="H40:K40"/>
    <mergeCell ref="D41:E41"/>
    <mergeCell ref="H41:K41"/>
    <mergeCell ref="D42:E42"/>
    <mergeCell ref="H42:K42"/>
    <mergeCell ref="H35:K35"/>
    <mergeCell ref="A1:K1"/>
    <mergeCell ref="A9:E9"/>
    <mergeCell ref="A2:A4"/>
    <mergeCell ref="B2:B4"/>
    <mergeCell ref="C2:C4"/>
    <mergeCell ref="D2:D4"/>
    <mergeCell ref="E2:E4"/>
    <mergeCell ref="F2:F4"/>
    <mergeCell ref="H2:H4"/>
    <mergeCell ref="I2:I4"/>
    <mergeCell ref="J2:J4"/>
    <mergeCell ref="K2:K4"/>
    <mergeCell ref="A32:E32"/>
    <mergeCell ref="B38:C38"/>
    <mergeCell ref="A33:I33"/>
    <mergeCell ref="A35:C35"/>
    <mergeCell ref="B36:C36"/>
    <mergeCell ref="B37:C37"/>
  </mergeCells>
  <printOptions horizontalCentered="1"/>
  <pageMargins left="0.31496062992125984" right="0.35433070866141736" top="1.1811023622047245" bottom="1.1811023622047245" header="0.31496062992125984" footer="0.31496062992125984"/>
  <pageSetup paperSize="9" scale="64"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4"/>
  <sheetViews>
    <sheetView view="pageBreakPreview" zoomScaleNormal="84" zoomScaleSheetLayoutView="100" workbookViewId="0">
      <selection sqref="A1:K1"/>
    </sheetView>
  </sheetViews>
  <sheetFormatPr defaultRowHeight="15" x14ac:dyDescent="0.2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3.42578125" style="250" customWidth="1"/>
    <col min="11" max="11" width="9.140625" style="251"/>
    <col min="12" max="12" width="9.140625" style="190"/>
    <col min="13" max="13" width="9.140625" style="191"/>
    <col min="14" max="16384" width="9.140625" style="190"/>
  </cols>
  <sheetData>
    <row r="1" spans="1:13" ht="36" customHeight="1" thickBot="1" x14ac:dyDescent="0.3">
      <c r="A1" s="516" t="s">
        <v>154</v>
      </c>
      <c r="B1" s="517"/>
      <c r="C1" s="517"/>
      <c r="D1" s="517"/>
      <c r="E1" s="517"/>
      <c r="F1" s="517"/>
      <c r="G1" s="517"/>
      <c r="H1" s="517"/>
      <c r="I1" s="517"/>
      <c r="J1" s="517"/>
      <c r="K1" s="518"/>
    </row>
    <row r="2" spans="1:13" ht="43.5" customHeight="1" x14ac:dyDescent="0.25">
      <c r="A2" s="494" t="s">
        <v>20</v>
      </c>
      <c r="B2" s="476" t="s">
        <v>21</v>
      </c>
      <c r="C2" s="476" t="s">
        <v>6</v>
      </c>
      <c r="D2" s="476" t="s">
        <v>27</v>
      </c>
      <c r="E2" s="479" t="s">
        <v>22</v>
      </c>
      <c r="F2" s="479" t="s">
        <v>65</v>
      </c>
      <c r="G2" s="192" t="s">
        <v>74</v>
      </c>
      <c r="H2" s="479" t="s">
        <v>23</v>
      </c>
      <c r="I2" s="485" t="s">
        <v>24</v>
      </c>
      <c r="J2" s="488" t="s">
        <v>40</v>
      </c>
      <c r="K2" s="491" t="s">
        <v>25</v>
      </c>
    </row>
    <row r="3" spans="1:13" ht="29.25" customHeight="1" x14ac:dyDescent="0.25">
      <c r="A3" s="495"/>
      <c r="B3" s="477"/>
      <c r="C3" s="477"/>
      <c r="D3" s="477"/>
      <c r="E3" s="480"/>
      <c r="F3" s="480"/>
      <c r="G3" s="116">
        <v>20.09</v>
      </c>
      <c r="H3" s="480"/>
      <c r="I3" s="486"/>
      <c r="J3" s="489"/>
      <c r="K3" s="492"/>
    </row>
    <row r="4" spans="1:13" ht="9" hidden="1" customHeight="1" x14ac:dyDescent="0.25">
      <c r="A4" s="496"/>
      <c r="B4" s="478"/>
      <c r="C4" s="478"/>
      <c r="D4" s="478"/>
      <c r="E4" s="481"/>
      <c r="F4" s="481"/>
      <c r="G4" s="195">
        <f>(G3/100)+1</f>
        <v>1.2009000000000001</v>
      </c>
      <c r="H4" s="481"/>
      <c r="I4" s="487"/>
      <c r="J4" s="490"/>
      <c r="K4" s="493"/>
    </row>
    <row r="5" spans="1:13" x14ac:dyDescent="0.25">
      <c r="A5" s="13" t="s">
        <v>84</v>
      </c>
      <c r="B5" s="196"/>
      <c r="C5" s="196"/>
      <c r="D5" s="369" t="s">
        <v>13</v>
      </c>
      <c r="E5" s="370"/>
      <c r="F5" s="370"/>
      <c r="G5" s="370"/>
      <c r="H5" s="198"/>
      <c r="I5" s="199"/>
      <c r="J5" s="69"/>
      <c r="K5" s="19"/>
    </row>
    <row r="6" spans="1:13" x14ac:dyDescent="0.25">
      <c r="A6" s="219" t="s">
        <v>85</v>
      </c>
      <c r="B6" s="211"/>
      <c r="C6" s="211"/>
      <c r="D6" s="220" t="s">
        <v>78</v>
      </c>
      <c r="E6" s="221"/>
      <c r="F6" s="202"/>
      <c r="G6" s="202"/>
      <c r="H6" s="202"/>
      <c r="I6" s="212"/>
      <c r="J6" s="212"/>
      <c r="K6" s="147"/>
    </row>
    <row r="7" spans="1:13" ht="26.25" thickBot="1" x14ac:dyDescent="0.3">
      <c r="A7" s="222" t="s">
        <v>31</v>
      </c>
      <c r="B7" s="125" t="s">
        <v>100</v>
      </c>
      <c r="C7" s="200" t="s">
        <v>1</v>
      </c>
      <c r="D7" s="201" t="e">
        <f>LOOKUP(C7,#REF!,#REF!)</f>
        <v>#REF!</v>
      </c>
      <c r="E7" s="200" t="e">
        <f>LOOKUP(C7,#REF!,#REF!)</f>
        <v>#REF!</v>
      </c>
      <c r="F7" s="202"/>
      <c r="G7" s="138">
        <f>F7*G4</f>
        <v>0</v>
      </c>
      <c r="H7" s="202">
        <v>601.84</v>
      </c>
      <c r="I7" s="139">
        <f>G7*H7</f>
        <v>0</v>
      </c>
      <c r="J7" s="212"/>
      <c r="K7" s="132" t="e">
        <f>I7/J28</f>
        <v>#DIV/0!</v>
      </c>
      <c r="M7" s="191">
        <f>F7*0.765</f>
        <v>0</v>
      </c>
    </row>
    <row r="8" spans="1:13" ht="15.75" thickBot="1" x14ac:dyDescent="0.3">
      <c r="A8" s="223"/>
      <c r="B8" s="224"/>
      <c r="C8" s="224"/>
      <c r="D8" s="225"/>
      <c r="E8" s="226"/>
      <c r="F8" s="206"/>
      <c r="G8" s="206"/>
      <c r="H8" s="207" t="s">
        <v>73</v>
      </c>
      <c r="I8" s="215"/>
      <c r="J8" s="216">
        <f>SUM(I7:I7)</f>
        <v>0</v>
      </c>
      <c r="K8" s="210" t="e">
        <f>J8/J28</f>
        <v>#DIV/0!</v>
      </c>
    </row>
    <row r="9" spans="1:13" x14ac:dyDescent="0.25">
      <c r="A9" s="219" t="s">
        <v>86</v>
      </c>
      <c r="B9" s="211"/>
      <c r="C9" s="211"/>
      <c r="D9" s="220" t="s">
        <v>15</v>
      </c>
      <c r="E9" s="211"/>
      <c r="F9" s="202"/>
      <c r="G9" s="202"/>
      <c r="H9" s="202"/>
      <c r="I9" s="212"/>
      <c r="J9" s="212"/>
      <c r="K9" s="147"/>
    </row>
    <row r="10" spans="1:13" ht="38.25" x14ac:dyDescent="0.25">
      <c r="A10" s="222" t="s">
        <v>33</v>
      </c>
      <c r="B10" s="125" t="s">
        <v>100</v>
      </c>
      <c r="C10" s="200" t="s">
        <v>3</v>
      </c>
      <c r="D10" s="201" t="e">
        <f>LOOKUP(C10,#REF!,#REF!)</f>
        <v>#REF!</v>
      </c>
      <c r="E10" s="200" t="e">
        <f>LOOKUP(C10,#REF!,#REF!)</f>
        <v>#REF!</v>
      </c>
      <c r="F10" s="202"/>
      <c r="G10" s="138">
        <f>F10*G4</f>
        <v>0</v>
      </c>
      <c r="H10" s="202">
        <v>601.84</v>
      </c>
      <c r="I10" s="139">
        <f>G10*H10</f>
        <v>0</v>
      </c>
      <c r="J10" s="212"/>
      <c r="K10" s="132" t="e">
        <f>I10/J28</f>
        <v>#DIV/0!</v>
      </c>
      <c r="M10" s="191">
        <f>F10*0.765</f>
        <v>0</v>
      </c>
    </row>
    <row r="11" spans="1:13" ht="76.5" x14ac:dyDescent="0.25">
      <c r="A11" s="222" t="s">
        <v>34</v>
      </c>
      <c r="B11" s="135" t="s">
        <v>101</v>
      </c>
      <c r="C11" s="205">
        <v>94274</v>
      </c>
      <c r="D11" s="227" t="s">
        <v>5</v>
      </c>
      <c r="E11" s="200" t="s">
        <v>0</v>
      </c>
      <c r="F11" s="202"/>
      <c r="G11" s="138">
        <f>F11*G4</f>
        <v>0</v>
      </c>
      <c r="H11" s="202">
        <v>42</v>
      </c>
      <c r="I11" s="139">
        <f t="shared" ref="I11:I13" si="0">G11*H11</f>
        <v>0</v>
      </c>
      <c r="J11" s="212"/>
      <c r="K11" s="132" t="e">
        <f>I11/J28</f>
        <v>#DIV/0!</v>
      </c>
      <c r="M11" s="191">
        <f>F11*0.765</f>
        <v>0</v>
      </c>
    </row>
    <row r="12" spans="1:13" ht="76.5" x14ac:dyDescent="0.25">
      <c r="A12" s="222" t="s">
        <v>35</v>
      </c>
      <c r="B12" s="135" t="s">
        <v>101</v>
      </c>
      <c r="C12" s="205">
        <v>94275</v>
      </c>
      <c r="D12" s="227" t="s">
        <v>81</v>
      </c>
      <c r="E12" s="200" t="s">
        <v>0</v>
      </c>
      <c r="F12" s="202"/>
      <c r="G12" s="138">
        <f>F12*G4</f>
        <v>0</v>
      </c>
      <c r="H12" s="202">
        <v>55</v>
      </c>
      <c r="I12" s="139">
        <f t="shared" si="0"/>
        <v>0</v>
      </c>
      <c r="J12" s="212"/>
      <c r="K12" s="132" t="e">
        <f>I12/J28</f>
        <v>#DIV/0!</v>
      </c>
      <c r="M12" s="191">
        <f>F12*0.765</f>
        <v>0</v>
      </c>
    </row>
    <row r="13" spans="1:13" ht="26.25" thickBot="1" x14ac:dyDescent="0.3">
      <c r="A13" s="222" t="s">
        <v>36</v>
      </c>
      <c r="B13" s="125" t="s">
        <v>100</v>
      </c>
      <c r="C13" s="200" t="s">
        <v>2</v>
      </c>
      <c r="D13" s="201" t="e">
        <f>LOOKUP(C13,#REF!,#REF!)</f>
        <v>#REF!</v>
      </c>
      <c r="E13" s="200" t="e">
        <f>LOOKUP(C13,#REF!,#REF!)</f>
        <v>#REF!</v>
      </c>
      <c r="F13" s="202"/>
      <c r="G13" s="138">
        <f>F13*G4</f>
        <v>0</v>
      </c>
      <c r="H13" s="202">
        <f>(H11+H12)*0.3*0.11</f>
        <v>3.2009999999999996</v>
      </c>
      <c r="I13" s="139">
        <f t="shared" si="0"/>
        <v>0</v>
      </c>
      <c r="J13" s="212"/>
      <c r="K13" s="132" t="e">
        <f>I13/J28</f>
        <v>#DIV/0!</v>
      </c>
      <c r="M13" s="191">
        <f>F13*0.765</f>
        <v>0</v>
      </c>
    </row>
    <row r="14" spans="1:13" ht="15.75" thickBot="1" x14ac:dyDescent="0.3">
      <c r="A14" s="223"/>
      <c r="B14" s="224"/>
      <c r="C14" s="224"/>
      <c r="D14" s="225"/>
      <c r="E14" s="226"/>
      <c r="F14" s="206"/>
      <c r="G14" s="206"/>
      <c r="H14" s="207" t="s">
        <v>61</v>
      </c>
      <c r="I14" s="215"/>
      <c r="J14" s="216">
        <f>SUM(I10:I13)</f>
        <v>0</v>
      </c>
      <c r="K14" s="210" t="e">
        <f>J14/J28</f>
        <v>#DIV/0!</v>
      </c>
    </row>
    <row r="15" spans="1:13" x14ac:dyDescent="0.25">
      <c r="A15" s="219" t="s">
        <v>87</v>
      </c>
      <c r="B15" s="211"/>
      <c r="C15" s="211"/>
      <c r="D15" s="228" t="s">
        <v>115</v>
      </c>
      <c r="E15" s="211"/>
      <c r="F15" s="202"/>
      <c r="G15" s="202"/>
      <c r="H15" s="202"/>
      <c r="I15" s="212"/>
      <c r="J15" s="212"/>
      <c r="K15" s="147"/>
    </row>
    <row r="16" spans="1:13" ht="25.5" x14ac:dyDescent="0.25">
      <c r="A16" s="222" t="s">
        <v>37</v>
      </c>
      <c r="B16" s="135" t="s">
        <v>101</v>
      </c>
      <c r="C16" s="200">
        <v>72947</v>
      </c>
      <c r="D16" s="201" t="s">
        <v>69</v>
      </c>
      <c r="E16" s="200" t="s">
        <v>9</v>
      </c>
      <c r="F16" s="202"/>
      <c r="G16" s="138">
        <f>F16*G3</f>
        <v>0</v>
      </c>
      <c r="H16" s="202">
        <v>25.12</v>
      </c>
      <c r="I16" s="139">
        <f t="shared" ref="I16:I26" si="1">G16*H16</f>
        <v>0</v>
      </c>
      <c r="J16" s="212"/>
      <c r="K16" s="132" t="e">
        <f>I16/J28</f>
        <v>#DIV/0!</v>
      </c>
    </row>
    <row r="17" spans="1:14" ht="25.5" x14ac:dyDescent="0.25">
      <c r="A17" s="222" t="s">
        <v>38</v>
      </c>
      <c r="B17" s="125" t="s">
        <v>100</v>
      </c>
      <c r="C17" s="200" t="s">
        <v>11</v>
      </c>
      <c r="D17" s="201" t="e">
        <f>LOOKUP(C17,#REF!,#REF!)</f>
        <v>#REF!</v>
      </c>
      <c r="E17" s="200" t="e">
        <f>LOOKUP(C17,#REF!,#REF!)</f>
        <v>#REF!</v>
      </c>
      <c r="F17" s="202"/>
      <c r="G17" s="138">
        <f>F17*G4</f>
        <v>0</v>
      </c>
      <c r="H17" s="202">
        <f>0.28+0.32</f>
        <v>0.60000000000000009</v>
      </c>
      <c r="I17" s="139">
        <f t="shared" si="1"/>
        <v>0</v>
      </c>
      <c r="J17" s="212"/>
      <c r="K17" s="132" t="e">
        <f>I17/J28</f>
        <v>#DIV/0!</v>
      </c>
      <c r="M17" s="191">
        <f>F17*0.765</f>
        <v>0</v>
      </c>
    </row>
    <row r="18" spans="1:14" x14ac:dyDescent="0.25">
      <c r="A18" s="222" t="s">
        <v>39</v>
      </c>
      <c r="B18" s="125" t="s">
        <v>100</v>
      </c>
      <c r="C18" s="213" t="s">
        <v>19</v>
      </c>
      <c r="D18" s="201" t="e">
        <f>LOOKUP(C18,#REF!,#REF!)</f>
        <v>#REF!</v>
      </c>
      <c r="E18" s="200" t="e">
        <f>LOOKUP(C18,#REF!,#REF!)</f>
        <v>#REF!</v>
      </c>
      <c r="F18" s="202"/>
      <c r="G18" s="138">
        <f>F18*G4</f>
        <v>0</v>
      </c>
      <c r="H18" s="202">
        <f>3*3</f>
        <v>9</v>
      </c>
      <c r="I18" s="139">
        <f t="shared" si="1"/>
        <v>0</v>
      </c>
      <c r="J18" s="212"/>
      <c r="K18" s="132" t="e">
        <f>I18/J28</f>
        <v>#DIV/0!</v>
      </c>
      <c r="M18" s="191">
        <f>F18*0.765</f>
        <v>0</v>
      </c>
    </row>
    <row r="19" spans="1:14" ht="25.5" x14ac:dyDescent="0.25">
      <c r="A19" s="222" t="s">
        <v>110</v>
      </c>
      <c r="B19" s="125" t="s">
        <v>100</v>
      </c>
      <c r="C19" s="213" t="s">
        <v>95</v>
      </c>
      <c r="D19" s="201" t="e">
        <f>LOOKUP(C19,#REF!,#REF!)</f>
        <v>#REF!</v>
      </c>
      <c r="E19" s="200" t="e">
        <f>LOOKUP(C19,#REF!,#REF!)</f>
        <v>#REF!</v>
      </c>
      <c r="F19" s="202"/>
      <c r="G19" s="138">
        <f>F19*G4</f>
        <v>0</v>
      </c>
      <c r="H19" s="202">
        <f>3*0.5</f>
        <v>1.5</v>
      </c>
      <c r="I19" s="139">
        <f t="shared" si="1"/>
        <v>0</v>
      </c>
      <c r="J19" s="212"/>
      <c r="K19" s="132" t="e">
        <f>I19/J28</f>
        <v>#DIV/0!</v>
      </c>
    </row>
    <row r="20" spans="1:14" ht="25.5" x14ac:dyDescent="0.25">
      <c r="A20" s="222" t="s">
        <v>111</v>
      </c>
      <c r="B20" s="135" t="s">
        <v>101</v>
      </c>
      <c r="C20" s="213" t="s">
        <v>105</v>
      </c>
      <c r="D20" s="214" t="s">
        <v>57</v>
      </c>
      <c r="E20" s="218" t="s">
        <v>12</v>
      </c>
      <c r="F20" s="202"/>
      <c r="G20" s="138">
        <f>F20*G4</f>
        <v>0</v>
      </c>
      <c r="H20" s="202">
        <v>1</v>
      </c>
      <c r="I20" s="139">
        <f t="shared" si="1"/>
        <v>0</v>
      </c>
      <c r="J20" s="212"/>
      <c r="K20" s="132" t="e">
        <f>I20/J28</f>
        <v>#DIV/0!</v>
      </c>
      <c r="N20" s="190">
        <v>4</v>
      </c>
    </row>
    <row r="21" spans="1:14" s="6" customFormat="1" ht="30" customHeight="1" x14ac:dyDescent="0.25">
      <c r="A21" s="222" t="s">
        <v>112</v>
      </c>
      <c r="B21" s="125" t="s">
        <v>100</v>
      </c>
      <c r="C21" s="200" t="s">
        <v>10</v>
      </c>
      <c r="D21" s="201" t="s">
        <v>58</v>
      </c>
      <c r="E21" s="200" t="e">
        <f>LOOKUP(C21,#REF!,#REF!)</f>
        <v>#REF!</v>
      </c>
      <c r="F21" s="202"/>
      <c r="G21" s="138">
        <f t="shared" ref="G21:G26" si="2">F21*$G$4</f>
        <v>0</v>
      </c>
      <c r="H21" s="202">
        <v>47.42</v>
      </c>
      <c r="I21" s="139">
        <f t="shared" si="1"/>
        <v>0</v>
      </c>
      <c r="J21" s="212"/>
      <c r="K21" s="132" t="e">
        <f t="shared" ref="K21:K26" si="3">I21/$J$28</f>
        <v>#DIV/0!</v>
      </c>
      <c r="M21" s="191">
        <f>F21*0.765</f>
        <v>0</v>
      </c>
    </row>
    <row r="22" spans="1:14" s="6" customFormat="1" ht="30" customHeight="1" x14ac:dyDescent="0.25">
      <c r="A22" s="222" t="s">
        <v>113</v>
      </c>
      <c r="B22" s="125" t="s">
        <v>100</v>
      </c>
      <c r="C22" s="128" t="s">
        <v>96</v>
      </c>
      <c r="D22" s="201" t="e">
        <f>LOOKUP(C22,#REF!,#REF!)</f>
        <v>#REF!</v>
      </c>
      <c r="E22" s="200" t="e">
        <f>LOOKUP(C22,#REF!,#REF!)</f>
        <v>#REF!</v>
      </c>
      <c r="F22" s="202"/>
      <c r="G22" s="138">
        <f t="shared" si="2"/>
        <v>0</v>
      </c>
      <c r="H22" s="353">
        <f>1.13*N20</f>
        <v>4.5199999999999996</v>
      </c>
      <c r="I22" s="139">
        <f t="shared" si="1"/>
        <v>0</v>
      </c>
      <c r="J22" s="212"/>
      <c r="K22" s="132" t="e">
        <f t="shared" si="3"/>
        <v>#DIV/0!</v>
      </c>
      <c r="M22" s="191"/>
    </row>
    <row r="23" spans="1:14" s="6" customFormat="1" ht="38.25" x14ac:dyDescent="0.25">
      <c r="A23" s="222" t="s">
        <v>114</v>
      </c>
      <c r="B23" s="125" t="s">
        <v>100</v>
      </c>
      <c r="C23" s="128" t="s">
        <v>97</v>
      </c>
      <c r="D23" s="201" t="e">
        <f>LOOKUP(C23,#REF!,#REF!)</f>
        <v>#REF!</v>
      </c>
      <c r="E23" s="200" t="e">
        <f>LOOKUP(C23,#REF!,#REF!)</f>
        <v>#REF!</v>
      </c>
      <c r="F23" s="202"/>
      <c r="G23" s="138">
        <f t="shared" si="2"/>
        <v>0</v>
      </c>
      <c r="H23" s="353">
        <f>1.13*N20</f>
        <v>4.5199999999999996</v>
      </c>
      <c r="I23" s="139">
        <f t="shared" si="1"/>
        <v>0</v>
      </c>
      <c r="J23" s="212"/>
      <c r="K23" s="132" t="e">
        <f t="shared" si="3"/>
        <v>#DIV/0!</v>
      </c>
      <c r="M23" s="191"/>
    </row>
    <row r="24" spans="1:14" s="6" customFormat="1" ht="30" customHeight="1" x14ac:dyDescent="0.25">
      <c r="A24" s="222" t="s">
        <v>122</v>
      </c>
      <c r="B24" s="125" t="s">
        <v>100</v>
      </c>
      <c r="C24" s="128" t="s">
        <v>94</v>
      </c>
      <c r="D24" s="201" t="e">
        <f>LOOKUP(C24,#REF!,#REF!)</f>
        <v>#REF!</v>
      </c>
      <c r="E24" s="200" t="e">
        <f>LOOKUP(C24,#REF!,#REF!)</f>
        <v>#REF!</v>
      </c>
      <c r="F24" s="202"/>
      <c r="G24" s="138">
        <f t="shared" si="2"/>
        <v>0</v>
      </c>
      <c r="H24" s="353">
        <f>0.26*N20</f>
        <v>1.04</v>
      </c>
      <c r="I24" s="139">
        <f t="shared" si="1"/>
        <v>0</v>
      </c>
      <c r="J24" s="212"/>
      <c r="K24" s="132" t="e">
        <f t="shared" si="3"/>
        <v>#DIV/0!</v>
      </c>
      <c r="M24" s="191"/>
    </row>
    <row r="25" spans="1:14" s="6" customFormat="1" ht="30" customHeight="1" x14ac:dyDescent="0.25">
      <c r="A25" s="222" t="s">
        <v>123</v>
      </c>
      <c r="B25" s="125" t="s">
        <v>100</v>
      </c>
      <c r="C25" s="128" t="s">
        <v>92</v>
      </c>
      <c r="D25" s="201" t="e">
        <f>LOOKUP(C25,#REF!,#REF!)</f>
        <v>#REF!</v>
      </c>
      <c r="E25" s="200" t="e">
        <f>LOOKUP(C25,#REF!,#REF!)</f>
        <v>#REF!</v>
      </c>
      <c r="F25" s="202"/>
      <c r="G25" s="138">
        <f t="shared" si="2"/>
        <v>0</v>
      </c>
      <c r="H25" s="353">
        <f>0.97*N20</f>
        <v>3.88</v>
      </c>
      <c r="I25" s="139">
        <f t="shared" si="1"/>
        <v>0</v>
      </c>
      <c r="J25" s="212"/>
      <c r="K25" s="132" t="e">
        <f t="shared" si="3"/>
        <v>#DIV/0!</v>
      </c>
      <c r="M25" s="191"/>
    </row>
    <row r="26" spans="1:14" s="6" customFormat="1" ht="30" customHeight="1" thickBot="1" x14ac:dyDescent="0.3">
      <c r="A26" s="222" t="s">
        <v>124</v>
      </c>
      <c r="B26" s="125" t="s">
        <v>100</v>
      </c>
      <c r="C26" s="128" t="s">
        <v>93</v>
      </c>
      <c r="D26" s="201" t="e">
        <f>LOOKUP(C26,#REF!,#REF!)</f>
        <v>#REF!</v>
      </c>
      <c r="E26" s="200" t="e">
        <f>LOOKUP(C26,#REF!,#REF!)</f>
        <v>#REF!</v>
      </c>
      <c r="F26" s="202"/>
      <c r="G26" s="138">
        <f t="shared" si="2"/>
        <v>0</v>
      </c>
      <c r="H26" s="353">
        <f>0.97*N20</f>
        <v>3.88</v>
      </c>
      <c r="I26" s="139">
        <f t="shared" si="1"/>
        <v>0</v>
      </c>
      <c r="J26" s="212"/>
      <c r="K26" s="132" t="e">
        <f t="shared" si="3"/>
        <v>#DIV/0!</v>
      </c>
      <c r="M26" s="191"/>
    </row>
    <row r="27" spans="1:14" s="6" customFormat="1" ht="15.75" customHeight="1" thickBot="1" x14ac:dyDescent="0.3">
      <c r="A27" s="519"/>
      <c r="B27" s="520"/>
      <c r="C27" s="520"/>
      <c r="D27" s="520"/>
      <c r="E27" s="521"/>
      <c r="F27" s="206"/>
      <c r="G27" s="206"/>
      <c r="H27" s="207" t="s">
        <v>62</v>
      </c>
      <c r="I27" s="215"/>
      <c r="J27" s="216">
        <f>SUM(I16:I26)</f>
        <v>0</v>
      </c>
      <c r="K27" s="210" t="e">
        <f>J27/J28</f>
        <v>#DIV/0!</v>
      </c>
      <c r="M27" s="186"/>
    </row>
    <row r="28" spans="1:14" s="254" customFormat="1" ht="15" customHeight="1" thickBot="1" x14ac:dyDescent="0.3">
      <c r="A28" s="504" t="s">
        <v>127</v>
      </c>
      <c r="B28" s="524"/>
      <c r="C28" s="524"/>
      <c r="D28" s="524"/>
      <c r="E28" s="524"/>
      <c r="F28" s="524"/>
      <c r="G28" s="524"/>
      <c r="H28" s="524"/>
      <c r="I28" s="525"/>
      <c r="J28" s="252">
        <f>SUM(J5:J27)</f>
        <v>0</v>
      </c>
      <c r="K28" s="253" t="e">
        <f>K8+K14+K27</f>
        <v>#DIV/0!</v>
      </c>
      <c r="M28" s="255"/>
    </row>
    <row r="29" spans="1:14" x14ac:dyDescent="0.25">
      <c r="A29" s="231"/>
      <c r="B29" s="231"/>
      <c r="C29" s="231"/>
      <c r="D29" s="232"/>
      <c r="E29" s="231"/>
      <c r="F29" s="231"/>
      <c r="G29" s="231"/>
      <c r="H29" s="231"/>
      <c r="I29" s="233"/>
      <c r="J29" s="234"/>
      <c r="K29" s="235"/>
    </row>
    <row r="30" spans="1:14" x14ac:dyDescent="0.25">
      <c r="A30" s="526" t="s">
        <v>64</v>
      </c>
      <c r="B30" s="527"/>
      <c r="C30" s="527"/>
      <c r="D30" s="336"/>
      <c r="E30" s="164"/>
      <c r="F30" s="164"/>
      <c r="G30" s="164"/>
      <c r="H30" s="499" t="s">
        <v>167</v>
      </c>
      <c r="I30" s="499"/>
      <c r="J30" s="499"/>
      <c r="K30" s="499"/>
    </row>
    <row r="31" spans="1:14" x14ac:dyDescent="0.25">
      <c r="A31" s="336"/>
      <c r="B31" s="497" t="s">
        <v>102</v>
      </c>
      <c r="C31" s="497"/>
      <c r="D31" s="164"/>
      <c r="E31" s="164"/>
      <c r="F31" s="164"/>
      <c r="G31" s="164"/>
      <c r="H31" s="164"/>
      <c r="I31" s="164"/>
      <c r="J31" s="164"/>
      <c r="K31" s="164"/>
    </row>
    <row r="32" spans="1:14" x14ac:dyDescent="0.25">
      <c r="A32" s="336"/>
      <c r="B32" s="498" t="s">
        <v>103</v>
      </c>
      <c r="C32" s="498"/>
      <c r="D32" s="164"/>
      <c r="E32" s="164"/>
      <c r="F32" s="164"/>
      <c r="G32" s="164"/>
      <c r="H32" s="164"/>
      <c r="I32" s="164"/>
      <c r="J32" s="164"/>
      <c r="K32" s="164"/>
    </row>
    <row r="33" spans="1:11" x14ac:dyDescent="0.25">
      <c r="A33" s="337"/>
      <c r="B33" s="498" t="s">
        <v>104</v>
      </c>
      <c r="C33" s="498"/>
      <c r="D33" s="164"/>
      <c r="E33" s="164"/>
      <c r="F33" s="164"/>
      <c r="G33" s="164"/>
      <c r="H33" s="164"/>
      <c r="I33" s="164"/>
      <c r="J33" s="164"/>
      <c r="K33" s="164"/>
    </row>
    <row r="34" spans="1:11" x14ac:dyDescent="0.25">
      <c r="A34" s="183"/>
      <c r="B34" s="183"/>
      <c r="C34" s="183"/>
      <c r="D34" s="236"/>
      <c r="E34" s="183"/>
      <c r="F34" s="183"/>
      <c r="G34" s="183"/>
      <c r="H34" s="183"/>
      <c r="I34" s="237"/>
      <c r="J34" s="238"/>
      <c r="K34" s="239"/>
    </row>
    <row r="35" spans="1:11" x14ac:dyDescent="0.25">
      <c r="A35" s="183"/>
      <c r="B35" s="183"/>
      <c r="C35" s="183"/>
      <c r="D35" s="364"/>
      <c r="E35" s="402"/>
      <c r="F35" s="402"/>
      <c r="G35" s="402"/>
      <c r="H35" s="402"/>
      <c r="I35" s="237"/>
      <c r="J35" s="238"/>
      <c r="K35" s="239"/>
    </row>
    <row r="36" spans="1:11" ht="15" customHeight="1" x14ac:dyDescent="0.25">
      <c r="A36" s="183"/>
      <c r="B36" s="183"/>
      <c r="C36" s="183"/>
      <c r="D36" s="403"/>
      <c r="E36" s="403"/>
      <c r="F36" s="402"/>
      <c r="G36" s="533"/>
      <c r="H36" s="403"/>
      <c r="I36" s="403"/>
      <c r="J36" s="403"/>
      <c r="K36" s="403"/>
    </row>
    <row r="37" spans="1:11" ht="15" customHeight="1" x14ac:dyDescent="0.25">
      <c r="A37" s="183"/>
      <c r="B37" s="183"/>
      <c r="C37" s="183"/>
      <c r="D37" s="403"/>
      <c r="E37" s="403"/>
      <c r="F37" s="401"/>
      <c r="G37" s="536"/>
      <c r="H37" s="403"/>
      <c r="I37" s="403"/>
      <c r="J37" s="403"/>
      <c r="K37" s="403"/>
    </row>
    <row r="38" spans="1:11" x14ac:dyDescent="0.25">
      <c r="A38" s="183"/>
      <c r="B38" s="183"/>
      <c r="C38" s="183"/>
      <c r="D38" s="403"/>
      <c r="E38" s="403"/>
      <c r="F38" s="401"/>
      <c r="G38" s="401"/>
      <c r="H38" s="414"/>
      <c r="I38" s="414"/>
      <c r="J38" s="414"/>
      <c r="K38" s="414"/>
    </row>
    <row r="39" spans="1:11" x14ac:dyDescent="0.25">
      <c r="A39" s="183"/>
      <c r="B39" s="183"/>
      <c r="C39" s="183"/>
      <c r="D39" s="362"/>
      <c r="E39" s="360"/>
      <c r="F39" s="401"/>
      <c r="G39" s="401"/>
      <c r="H39" s="6"/>
      <c r="I39" s="243"/>
      <c r="J39" s="244"/>
      <c r="K39" s="241"/>
    </row>
    <row r="40" spans="1:11" x14ac:dyDescent="0.25">
      <c r="B40" s="183"/>
      <c r="C40" s="183"/>
      <c r="D40" s="362"/>
      <c r="E40" s="360"/>
      <c r="F40" s="401"/>
      <c r="G40" s="401"/>
      <c r="H40" s="6"/>
      <c r="I40" s="243"/>
      <c r="J40" s="244"/>
      <c r="K40" s="241"/>
    </row>
    <row r="41" spans="1:11" x14ac:dyDescent="0.25">
      <c r="D41" s="362"/>
      <c r="E41" s="360"/>
      <c r="F41" s="401"/>
      <c r="G41" s="401"/>
      <c r="H41" s="6"/>
      <c r="I41" s="243"/>
      <c r="J41" s="244"/>
      <c r="K41" s="241"/>
    </row>
    <row r="42" spans="1:11" x14ac:dyDescent="0.25">
      <c r="D42" s="362"/>
      <c r="E42" s="360"/>
      <c r="F42" s="401"/>
      <c r="G42" s="401"/>
      <c r="H42" s="403"/>
      <c r="I42" s="403"/>
      <c r="J42" s="403"/>
      <c r="K42" s="403"/>
    </row>
    <row r="43" spans="1:11" x14ac:dyDescent="0.25">
      <c r="D43" s="362"/>
      <c r="E43" s="360"/>
      <c r="F43" s="401"/>
      <c r="G43" s="401"/>
      <c r="H43" s="403"/>
      <c r="I43" s="403"/>
      <c r="J43" s="403"/>
      <c r="K43" s="403"/>
    </row>
    <row r="44" spans="1:11" x14ac:dyDescent="0.25">
      <c r="D44" s="362"/>
      <c r="E44" s="360"/>
      <c r="F44" s="401"/>
      <c r="G44" s="401"/>
      <c r="H44" s="403"/>
      <c r="I44" s="403"/>
      <c r="J44" s="403"/>
      <c r="K44" s="403"/>
    </row>
  </sheetData>
  <mergeCells count="27">
    <mergeCell ref="H42:K42"/>
    <mergeCell ref="H43:K43"/>
    <mergeCell ref="H44:K44"/>
    <mergeCell ref="D36:E36"/>
    <mergeCell ref="H36:K36"/>
    <mergeCell ref="D37:E37"/>
    <mergeCell ref="H37:K37"/>
    <mergeCell ref="D38:E38"/>
    <mergeCell ref="H38:K38"/>
    <mergeCell ref="H30:K30"/>
    <mergeCell ref="A1:K1"/>
    <mergeCell ref="A2:A4"/>
    <mergeCell ref="B2:B4"/>
    <mergeCell ref="C2:C4"/>
    <mergeCell ref="D2:D4"/>
    <mergeCell ref="E2:E4"/>
    <mergeCell ref="F2:F4"/>
    <mergeCell ref="H2:H4"/>
    <mergeCell ref="I2:I4"/>
    <mergeCell ref="J2:J4"/>
    <mergeCell ref="K2:K4"/>
    <mergeCell ref="B33:C33"/>
    <mergeCell ref="A27:E27"/>
    <mergeCell ref="A28:I28"/>
    <mergeCell ref="A30:C30"/>
    <mergeCell ref="B31:C31"/>
    <mergeCell ref="B32:C32"/>
  </mergeCells>
  <printOptions horizontalCentered="1"/>
  <pageMargins left="0.31496062992125984" right="0.35433070866141736" top="1.1811023622047245" bottom="1.1811023622047245" header="0.31496062992125984" footer="0.31496062992125984"/>
  <pageSetup paperSize="9" scale="68" orientation="portrait" horizontalDpi="4294967293" r:id="rId1"/>
  <headerFooter>
    <oddHeader>&amp;L&amp;G&amp;C&amp;"-,Negrito"&amp;18PREFEITURA MUNICIPAL DE POTIM&amp;"-,Regular"&amp;11
&amp;16“TERRA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0"/>
  <sheetViews>
    <sheetView view="pageBreakPreview" zoomScaleNormal="84" zoomScaleSheetLayoutView="100" workbookViewId="0">
      <selection sqref="A1:K1"/>
    </sheetView>
  </sheetViews>
  <sheetFormatPr defaultRowHeight="15" x14ac:dyDescent="0.2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3.42578125" style="250" customWidth="1"/>
    <col min="11" max="11" width="9.140625" style="251"/>
    <col min="12" max="12" width="9.140625" style="190"/>
    <col min="13" max="13" width="9.140625" style="191"/>
    <col min="14" max="16384" width="9.140625" style="190"/>
  </cols>
  <sheetData>
    <row r="1" spans="1:13" ht="36" customHeight="1" thickBot="1" x14ac:dyDescent="0.3">
      <c r="A1" s="516" t="s">
        <v>155</v>
      </c>
      <c r="B1" s="517"/>
      <c r="C1" s="517"/>
      <c r="D1" s="517"/>
      <c r="E1" s="517"/>
      <c r="F1" s="517"/>
      <c r="G1" s="517"/>
      <c r="H1" s="517"/>
      <c r="I1" s="517"/>
      <c r="J1" s="517"/>
      <c r="K1" s="518"/>
    </row>
    <row r="2" spans="1:13" ht="43.5" customHeight="1" x14ac:dyDescent="0.25">
      <c r="A2" s="494" t="s">
        <v>20</v>
      </c>
      <c r="B2" s="476" t="s">
        <v>21</v>
      </c>
      <c r="C2" s="476" t="s">
        <v>6</v>
      </c>
      <c r="D2" s="476" t="s">
        <v>27</v>
      </c>
      <c r="E2" s="479" t="s">
        <v>22</v>
      </c>
      <c r="F2" s="479" t="s">
        <v>65</v>
      </c>
      <c r="G2" s="265" t="s">
        <v>74</v>
      </c>
      <c r="H2" s="479" t="s">
        <v>23</v>
      </c>
      <c r="I2" s="485" t="s">
        <v>24</v>
      </c>
      <c r="J2" s="488" t="s">
        <v>40</v>
      </c>
      <c r="K2" s="491" t="s">
        <v>25</v>
      </c>
    </row>
    <row r="3" spans="1:13" ht="25.5" customHeight="1" x14ac:dyDescent="0.25">
      <c r="A3" s="495"/>
      <c r="B3" s="477"/>
      <c r="C3" s="477"/>
      <c r="D3" s="477"/>
      <c r="E3" s="480"/>
      <c r="F3" s="480"/>
      <c r="G3" s="116">
        <v>20.09</v>
      </c>
      <c r="H3" s="480"/>
      <c r="I3" s="486"/>
      <c r="J3" s="489"/>
      <c r="K3" s="492"/>
    </row>
    <row r="4" spans="1:13" ht="9" hidden="1" customHeight="1" x14ac:dyDescent="0.25">
      <c r="A4" s="496"/>
      <c r="B4" s="478"/>
      <c r="C4" s="478"/>
      <c r="D4" s="478"/>
      <c r="E4" s="481"/>
      <c r="F4" s="481"/>
      <c r="G4" s="195">
        <f>(G3/100)+1</f>
        <v>1.2009000000000001</v>
      </c>
      <c r="H4" s="481"/>
      <c r="I4" s="487"/>
      <c r="J4" s="490"/>
      <c r="K4" s="493"/>
    </row>
    <row r="5" spans="1:13" x14ac:dyDescent="0.25">
      <c r="A5" s="79" t="s">
        <v>84</v>
      </c>
      <c r="B5" s="196"/>
      <c r="C5" s="266"/>
      <c r="D5" s="396" t="s">
        <v>13</v>
      </c>
      <c r="E5" s="397"/>
      <c r="F5" s="397"/>
      <c r="G5" s="397"/>
      <c r="H5" s="268"/>
      <c r="I5" s="269"/>
      <c r="J5" s="84"/>
      <c r="K5" s="85"/>
    </row>
    <row r="6" spans="1:13" ht="26.25" x14ac:dyDescent="0.25">
      <c r="A6" s="88" t="s">
        <v>85</v>
      </c>
      <c r="B6" s="89"/>
      <c r="C6" s="280"/>
      <c r="D6" s="281" t="s">
        <v>68</v>
      </c>
      <c r="E6" s="280"/>
      <c r="F6" s="272"/>
      <c r="G6" s="272"/>
      <c r="H6" s="272"/>
      <c r="I6" s="276"/>
      <c r="J6" s="276"/>
      <c r="K6" s="87"/>
    </row>
    <row r="7" spans="1:13" ht="27.75" customHeight="1" x14ac:dyDescent="0.25">
      <c r="A7" s="72" t="s">
        <v>31</v>
      </c>
      <c r="B7" s="125" t="s">
        <v>100</v>
      </c>
      <c r="C7" s="270" t="s">
        <v>7</v>
      </c>
      <c r="D7" s="271" t="e">
        <f>LOOKUP(C7,#REF!,#REF!)</f>
        <v>#REF!</v>
      </c>
      <c r="E7" s="270" t="e">
        <f>LOOKUP(C7,#REF!,#REF!)</f>
        <v>#REF!</v>
      </c>
      <c r="F7" s="272"/>
      <c r="G7" s="28">
        <f>F7*G4</f>
        <v>0</v>
      </c>
      <c r="H7" s="272">
        <v>0.3</v>
      </c>
      <c r="I7" s="45">
        <f>G7*H7</f>
        <v>0</v>
      </c>
      <c r="J7" s="276"/>
      <c r="K7" s="71" t="e">
        <f>I7/J24</f>
        <v>#DIV/0!</v>
      </c>
      <c r="M7" s="191">
        <f>F7*0.765</f>
        <v>0</v>
      </c>
    </row>
    <row r="8" spans="1:13" ht="27" thickBot="1" x14ac:dyDescent="0.3">
      <c r="A8" s="72" t="s">
        <v>32</v>
      </c>
      <c r="B8" s="136" t="s">
        <v>100</v>
      </c>
      <c r="C8" s="90" t="s">
        <v>98</v>
      </c>
      <c r="D8" s="271" t="e">
        <f>LOOKUP(C8,#REF!,#REF!)</f>
        <v>#REF!</v>
      </c>
      <c r="E8" s="270" t="e">
        <f>LOOKUP(C8,#REF!,#REF!)</f>
        <v>#REF!</v>
      </c>
      <c r="F8" s="272"/>
      <c r="G8" s="28">
        <f>F8*G4</f>
        <v>0</v>
      </c>
      <c r="H8" s="272">
        <v>1</v>
      </c>
      <c r="I8" s="45">
        <f>G8*H8</f>
        <v>0</v>
      </c>
      <c r="J8" s="276"/>
      <c r="K8" s="71" t="e">
        <f>I8/J24</f>
        <v>#DIV/0!</v>
      </c>
      <c r="M8" s="191">
        <f>F8*0.765</f>
        <v>0</v>
      </c>
    </row>
    <row r="9" spans="1:13" ht="15.75" thickBot="1" x14ac:dyDescent="0.3">
      <c r="A9" s="467"/>
      <c r="B9" s="522"/>
      <c r="C9" s="522"/>
      <c r="D9" s="522"/>
      <c r="E9" s="523"/>
      <c r="F9" s="274"/>
      <c r="G9" s="274"/>
      <c r="H9" s="58" t="s">
        <v>73</v>
      </c>
      <c r="I9" s="46"/>
      <c r="J9" s="279">
        <f>SUM(I7:I8)</f>
        <v>0</v>
      </c>
      <c r="K9" s="76" t="e">
        <f>J9/J24</f>
        <v>#DIV/0!</v>
      </c>
    </row>
    <row r="10" spans="1:13" x14ac:dyDescent="0.25">
      <c r="A10" s="282" t="s">
        <v>86</v>
      </c>
      <c r="B10" s="275"/>
      <c r="C10" s="280"/>
      <c r="D10" s="91" t="s">
        <v>78</v>
      </c>
      <c r="E10" s="283"/>
      <c r="F10" s="272"/>
      <c r="G10" s="272"/>
      <c r="H10" s="272"/>
      <c r="I10" s="276"/>
      <c r="J10" s="276"/>
      <c r="K10" s="87"/>
    </row>
    <row r="11" spans="1:13" ht="27" thickBot="1" x14ac:dyDescent="0.3">
      <c r="A11" s="284" t="s">
        <v>33</v>
      </c>
      <c r="B11" s="136" t="s">
        <v>100</v>
      </c>
      <c r="C11" s="270" t="s">
        <v>1</v>
      </c>
      <c r="D11" s="271" t="e">
        <f>LOOKUP(C11,#REF!,#REF!)</f>
        <v>#REF!</v>
      </c>
      <c r="E11" s="270" t="e">
        <f>LOOKUP(C11,#REF!,#REF!)</f>
        <v>#REF!</v>
      </c>
      <c r="F11" s="272"/>
      <c r="G11" s="28">
        <f>F11*G4</f>
        <v>0</v>
      </c>
      <c r="H11" s="272">
        <v>315.87</v>
      </c>
      <c r="I11" s="45">
        <f>G11*H11</f>
        <v>0</v>
      </c>
      <c r="J11" s="276"/>
      <c r="K11" s="71" t="e">
        <f>I11/J24</f>
        <v>#DIV/0!</v>
      </c>
      <c r="M11" s="191">
        <f>F11*0.765</f>
        <v>0</v>
      </c>
    </row>
    <row r="12" spans="1:13" ht="15.75" thickBot="1" x14ac:dyDescent="0.3">
      <c r="A12" s="92"/>
      <c r="B12" s="285"/>
      <c r="C12" s="285"/>
      <c r="D12" s="286"/>
      <c r="E12" s="287"/>
      <c r="F12" s="274"/>
      <c r="G12" s="274"/>
      <c r="H12" s="58" t="s">
        <v>61</v>
      </c>
      <c r="I12" s="46"/>
      <c r="J12" s="279">
        <f>SUM(I11:I11)</f>
        <v>0</v>
      </c>
      <c r="K12" s="76" t="e">
        <f>J12/J24</f>
        <v>#DIV/0!</v>
      </c>
    </row>
    <row r="13" spans="1:13" x14ac:dyDescent="0.25">
      <c r="A13" s="282" t="s">
        <v>87</v>
      </c>
      <c r="B13" s="275"/>
      <c r="C13" s="280"/>
      <c r="D13" s="91" t="s">
        <v>15</v>
      </c>
      <c r="E13" s="280"/>
      <c r="F13" s="272"/>
      <c r="G13" s="272"/>
      <c r="H13" s="272"/>
      <c r="I13" s="276"/>
      <c r="J13" s="276"/>
      <c r="K13" s="87"/>
    </row>
    <row r="14" spans="1:13" ht="39" x14ac:dyDescent="0.25">
      <c r="A14" s="284" t="s">
        <v>37</v>
      </c>
      <c r="B14" s="136" t="s">
        <v>100</v>
      </c>
      <c r="C14" s="270" t="s">
        <v>3</v>
      </c>
      <c r="D14" s="271" t="e">
        <f>LOOKUP(C14,#REF!,#REF!)</f>
        <v>#REF!</v>
      </c>
      <c r="E14" s="270" t="e">
        <f>LOOKUP(C14,#REF!,#REF!)</f>
        <v>#REF!</v>
      </c>
      <c r="F14" s="272"/>
      <c r="G14" s="38">
        <f>F14*G4</f>
        <v>0</v>
      </c>
      <c r="H14" s="272">
        <v>315.87</v>
      </c>
      <c r="I14" s="45">
        <f>G14*H14</f>
        <v>0</v>
      </c>
      <c r="J14" s="276"/>
      <c r="K14" s="71" t="e">
        <f>I14/J24</f>
        <v>#DIV/0!</v>
      </c>
      <c r="M14" s="191">
        <f>F14*0.765</f>
        <v>0</v>
      </c>
    </row>
    <row r="15" spans="1:13" ht="77.25" x14ac:dyDescent="0.25">
      <c r="A15" s="284" t="s">
        <v>38</v>
      </c>
      <c r="B15" s="135" t="s">
        <v>101</v>
      </c>
      <c r="C15" s="273">
        <v>94274</v>
      </c>
      <c r="D15" s="288" t="s">
        <v>5</v>
      </c>
      <c r="E15" s="270" t="s">
        <v>0</v>
      </c>
      <c r="F15" s="272"/>
      <c r="G15" s="38">
        <f>F15*G4</f>
        <v>0</v>
      </c>
      <c r="H15" s="272">
        <v>27</v>
      </c>
      <c r="I15" s="45">
        <f>G15*H15</f>
        <v>0</v>
      </c>
      <c r="J15" s="276"/>
      <c r="K15" s="71" t="e">
        <f>I15/J24</f>
        <v>#DIV/0!</v>
      </c>
      <c r="M15" s="191">
        <f>F15*0.765</f>
        <v>0</v>
      </c>
    </row>
    <row r="16" spans="1:13" ht="27" thickBot="1" x14ac:dyDescent="0.3">
      <c r="A16" s="284" t="s">
        <v>39</v>
      </c>
      <c r="B16" s="136" t="s">
        <v>100</v>
      </c>
      <c r="C16" s="270" t="s">
        <v>2</v>
      </c>
      <c r="D16" s="271" t="e">
        <f>LOOKUP(C16,#REF!,#REF!)</f>
        <v>#REF!</v>
      </c>
      <c r="E16" s="270" t="e">
        <f>LOOKUP(C16,#REF!,#REF!)</f>
        <v>#REF!</v>
      </c>
      <c r="F16" s="272"/>
      <c r="G16" s="38">
        <f>F16*G4</f>
        <v>0</v>
      </c>
      <c r="H16" s="272">
        <f>H15*0.3*0.11</f>
        <v>0.89100000000000001</v>
      </c>
      <c r="I16" s="45">
        <f>G16*H16</f>
        <v>0</v>
      </c>
      <c r="J16" s="276"/>
      <c r="K16" s="71" t="e">
        <f>I16/J24</f>
        <v>#DIV/0!</v>
      </c>
      <c r="M16" s="191">
        <f>F16*0.765</f>
        <v>0</v>
      </c>
    </row>
    <row r="17" spans="1:13" ht="15.75" thickBot="1" x14ac:dyDescent="0.3">
      <c r="A17" s="92"/>
      <c r="B17" s="381"/>
      <c r="C17" s="285"/>
      <c r="D17" s="286"/>
      <c r="E17" s="287"/>
      <c r="F17" s="274"/>
      <c r="G17" s="274"/>
      <c r="H17" s="58" t="s">
        <v>62</v>
      </c>
      <c r="I17" s="46"/>
      <c r="J17" s="279">
        <f>SUM(I14:I16)</f>
        <v>0</v>
      </c>
      <c r="K17" s="76" t="e">
        <f>J17/J24</f>
        <v>#DIV/0!</v>
      </c>
    </row>
    <row r="18" spans="1:13" x14ac:dyDescent="0.25">
      <c r="A18" s="282" t="s">
        <v>88</v>
      </c>
      <c r="B18" s="211"/>
      <c r="C18" s="280"/>
      <c r="D18" s="289" t="s">
        <v>115</v>
      </c>
      <c r="E18" s="280"/>
      <c r="F18" s="272"/>
      <c r="G18" s="272"/>
      <c r="H18" s="272"/>
      <c r="I18" s="276"/>
      <c r="J18" s="276"/>
      <c r="K18" s="87"/>
    </row>
    <row r="19" spans="1:13" ht="26.25" x14ac:dyDescent="0.25">
      <c r="A19" s="284" t="s">
        <v>41</v>
      </c>
      <c r="B19" s="125" t="s">
        <v>100</v>
      </c>
      <c r="C19" s="270" t="s">
        <v>11</v>
      </c>
      <c r="D19" s="271" t="e">
        <f>LOOKUP(C19,#REF!,#REF!)</f>
        <v>#REF!</v>
      </c>
      <c r="E19" s="270" t="e">
        <f>LOOKUP(C19,#REF!,#REF!)</f>
        <v>#REF!</v>
      </c>
      <c r="F19" s="272"/>
      <c r="G19" s="28">
        <f>F19*G4</f>
        <v>0</v>
      </c>
      <c r="H19" s="272">
        <f>0.28+21</f>
        <v>21.28</v>
      </c>
      <c r="I19" s="45">
        <f>G19*H19</f>
        <v>0</v>
      </c>
      <c r="J19" s="276"/>
      <c r="K19" s="71" t="e">
        <f>I19/J24</f>
        <v>#DIV/0!</v>
      </c>
      <c r="M19" s="191">
        <f>F19*0.765</f>
        <v>0</v>
      </c>
    </row>
    <row r="20" spans="1:13" x14ac:dyDescent="0.25">
      <c r="A20" s="284" t="s">
        <v>42</v>
      </c>
      <c r="B20" s="125" t="s">
        <v>100</v>
      </c>
      <c r="C20" s="277" t="s">
        <v>19</v>
      </c>
      <c r="D20" s="271" t="e">
        <f>LOOKUP(C20,#REF!,#REF!)</f>
        <v>#REF!</v>
      </c>
      <c r="E20" s="270" t="e">
        <f>LOOKUP(C20,#REF!,#REF!)</f>
        <v>#REF!</v>
      </c>
      <c r="F20" s="272"/>
      <c r="G20" s="28">
        <f>F20*G4</f>
        <v>0</v>
      </c>
      <c r="H20" s="272">
        <f>2*3</f>
        <v>6</v>
      </c>
      <c r="I20" s="45">
        <f>G20*H20</f>
        <v>0</v>
      </c>
      <c r="J20" s="276"/>
      <c r="K20" s="71" t="e">
        <f>I20/J24</f>
        <v>#DIV/0!</v>
      </c>
      <c r="M20" s="191">
        <f>F20*0.765</f>
        <v>0</v>
      </c>
    </row>
    <row r="21" spans="1:13" ht="26.25" x14ac:dyDescent="0.25">
      <c r="A21" s="284" t="s">
        <v>43</v>
      </c>
      <c r="B21" s="125" t="s">
        <v>100</v>
      </c>
      <c r="C21" s="277" t="s">
        <v>95</v>
      </c>
      <c r="D21" s="271" t="e">
        <f>LOOKUP(C21,#REF!,#REF!)</f>
        <v>#REF!</v>
      </c>
      <c r="E21" s="270" t="e">
        <f>LOOKUP(C21,#REF!,#REF!)</f>
        <v>#REF!</v>
      </c>
      <c r="F21" s="272"/>
      <c r="G21" s="28">
        <f>F21*G4</f>
        <v>0</v>
      </c>
      <c r="H21" s="272">
        <f>2*0.5</f>
        <v>1</v>
      </c>
      <c r="I21" s="45">
        <f>G21*H21</f>
        <v>0</v>
      </c>
      <c r="J21" s="276"/>
      <c r="K21" s="71" t="e">
        <f>I21/J24</f>
        <v>#DIV/0!</v>
      </c>
    </row>
    <row r="22" spans="1:13" s="6" customFormat="1" ht="27" thickBot="1" x14ac:dyDescent="0.3">
      <c r="A22" s="284" t="s">
        <v>44</v>
      </c>
      <c r="B22" s="125" t="s">
        <v>100</v>
      </c>
      <c r="C22" s="270" t="s">
        <v>10</v>
      </c>
      <c r="D22" s="271" t="s">
        <v>58</v>
      </c>
      <c r="E22" s="270" t="e">
        <f>LOOKUP(C22,#REF!,#REF!)</f>
        <v>#REF!</v>
      </c>
      <c r="F22" s="272"/>
      <c r="G22" s="28">
        <f>F22*$G$4</f>
        <v>0</v>
      </c>
      <c r="H22" s="272">
        <v>25.93</v>
      </c>
      <c r="I22" s="45">
        <f>G22*H22</f>
        <v>0</v>
      </c>
      <c r="J22" s="276"/>
      <c r="K22" s="71" t="e">
        <f>I22/J24</f>
        <v>#DIV/0!</v>
      </c>
      <c r="M22" s="191">
        <f>F22*0.765</f>
        <v>0</v>
      </c>
    </row>
    <row r="23" spans="1:13" s="6" customFormat="1" ht="15.75" customHeight="1" thickBot="1" x14ac:dyDescent="0.3">
      <c r="A23" s="467"/>
      <c r="B23" s="522"/>
      <c r="C23" s="522"/>
      <c r="D23" s="522"/>
      <c r="E23" s="523"/>
      <c r="F23" s="274"/>
      <c r="G23" s="274"/>
      <c r="H23" s="58" t="s">
        <v>63</v>
      </c>
      <c r="I23" s="46"/>
      <c r="J23" s="279">
        <f>SUM(I19:I22)</f>
        <v>0</v>
      </c>
      <c r="K23" s="76" t="e">
        <f>J23/J24</f>
        <v>#DIV/0!</v>
      </c>
      <c r="M23" s="186"/>
    </row>
    <row r="24" spans="1:13" s="254" customFormat="1" ht="16.5" thickBot="1" x14ac:dyDescent="0.3">
      <c r="A24" s="470" t="s">
        <v>127</v>
      </c>
      <c r="B24" s="510"/>
      <c r="C24" s="510"/>
      <c r="D24" s="510"/>
      <c r="E24" s="510"/>
      <c r="F24" s="510"/>
      <c r="G24" s="510"/>
      <c r="H24" s="510"/>
      <c r="I24" s="511"/>
      <c r="J24" s="162">
        <f>SUM(J5:J23)</f>
        <v>0</v>
      </c>
      <c r="K24" s="163" t="e">
        <f>+K9+K12+K17+K23</f>
        <v>#DIV/0!</v>
      </c>
      <c r="M24" s="255"/>
    </row>
    <row r="25" spans="1:13" x14ac:dyDescent="0.25">
      <c r="A25" s="259"/>
      <c r="B25" s="260"/>
      <c r="C25" s="259"/>
      <c r="D25" s="261"/>
      <c r="E25" s="259"/>
      <c r="F25" s="260"/>
      <c r="G25" s="260"/>
      <c r="H25" s="260"/>
      <c r="I25" s="262"/>
      <c r="J25" s="263"/>
      <c r="K25" s="264"/>
    </row>
    <row r="26" spans="1:13" x14ac:dyDescent="0.25">
      <c r="A26" s="514" t="s">
        <v>64</v>
      </c>
      <c r="B26" s="515"/>
      <c r="C26" s="515"/>
      <c r="D26" s="331"/>
      <c r="E26" s="361"/>
      <c r="F26" s="361"/>
      <c r="G26" s="361"/>
      <c r="H26" s="499" t="s">
        <v>167</v>
      </c>
      <c r="I26" s="499"/>
      <c r="J26" s="499"/>
      <c r="K26" s="499"/>
    </row>
    <row r="27" spans="1:13" x14ac:dyDescent="0.25">
      <c r="A27" s="331"/>
      <c r="B27" s="497" t="s">
        <v>102</v>
      </c>
      <c r="C27" s="497"/>
      <c r="D27" s="332"/>
      <c r="E27" s="332"/>
      <c r="F27" s="332"/>
      <c r="G27" s="332"/>
      <c r="H27" s="332"/>
      <c r="I27" s="332"/>
      <c r="J27" s="332"/>
      <c r="K27" s="332"/>
    </row>
    <row r="28" spans="1:13" x14ac:dyDescent="0.25">
      <c r="A28" s="331"/>
      <c r="B28" s="498" t="s">
        <v>103</v>
      </c>
      <c r="C28" s="498"/>
      <c r="D28" s="332"/>
      <c r="E28" s="332"/>
      <c r="F28" s="332"/>
      <c r="G28" s="332"/>
      <c r="H28" s="332"/>
      <c r="I28" s="332"/>
      <c r="J28" s="332"/>
      <c r="K28" s="332"/>
    </row>
    <row r="29" spans="1:13" x14ac:dyDescent="0.25">
      <c r="A29" s="333"/>
      <c r="B29" s="498" t="s">
        <v>104</v>
      </c>
      <c r="C29" s="498"/>
      <c r="D29" s="332"/>
      <c r="E29" s="332"/>
      <c r="F29" s="332"/>
      <c r="G29" s="332"/>
      <c r="H29" s="332"/>
      <c r="I29" s="332"/>
      <c r="J29" s="332"/>
      <c r="K29" s="332"/>
    </row>
    <row r="30" spans="1:13" x14ac:dyDescent="0.25">
      <c r="A30" s="182"/>
      <c r="B30" s="240"/>
      <c r="C30" s="182"/>
      <c r="D30" s="242"/>
      <c r="E30" s="182"/>
      <c r="F30" s="240"/>
      <c r="G30" s="240"/>
      <c r="H30" s="6"/>
      <c r="I30" s="243"/>
      <c r="J30" s="244"/>
      <c r="K30" s="241"/>
    </row>
    <row r="31" spans="1:13" x14ac:dyDescent="0.25">
      <c r="A31" s="182"/>
      <c r="B31" s="240"/>
      <c r="C31" s="182"/>
      <c r="D31" s="362"/>
      <c r="E31" s="360"/>
      <c r="F31" s="401"/>
      <c r="G31" s="401"/>
      <c r="H31" s="6"/>
      <c r="I31" s="243"/>
      <c r="J31" s="244"/>
      <c r="K31" s="241"/>
    </row>
    <row r="32" spans="1:13" ht="15" customHeight="1" x14ac:dyDescent="0.25">
      <c r="A32" s="182"/>
      <c r="B32" s="240"/>
      <c r="C32" s="182"/>
      <c r="D32" s="403"/>
      <c r="E32" s="403"/>
      <c r="F32" s="402"/>
      <c r="G32" s="533"/>
      <c r="H32" s="403"/>
      <c r="I32" s="403"/>
      <c r="J32" s="403"/>
      <c r="K32" s="403"/>
    </row>
    <row r="33" spans="1:11" ht="15" customHeight="1" x14ac:dyDescent="0.25">
      <c r="A33" s="182"/>
      <c r="B33" s="240"/>
      <c r="C33" s="182"/>
      <c r="D33" s="403"/>
      <c r="E33" s="403"/>
      <c r="F33" s="401"/>
      <c r="G33" s="536"/>
      <c r="H33" s="403"/>
      <c r="I33" s="403"/>
      <c r="J33" s="403"/>
      <c r="K33" s="403"/>
    </row>
    <row r="34" spans="1:11" x14ac:dyDescent="0.25">
      <c r="A34" s="182"/>
      <c r="B34" s="240"/>
      <c r="C34" s="182"/>
      <c r="D34" s="403"/>
      <c r="E34" s="403"/>
      <c r="F34" s="401"/>
      <c r="G34" s="401"/>
      <c r="H34" s="414"/>
      <c r="I34" s="414"/>
      <c r="J34" s="414"/>
      <c r="K34" s="414"/>
    </row>
    <row r="35" spans="1:11" x14ac:dyDescent="0.25">
      <c r="A35" s="182"/>
      <c r="B35" s="240"/>
      <c r="C35" s="182"/>
      <c r="D35" s="362"/>
      <c r="E35" s="360"/>
      <c r="F35" s="401"/>
      <c r="G35" s="401"/>
      <c r="H35" s="6"/>
      <c r="I35" s="243"/>
      <c r="J35" s="244"/>
      <c r="K35" s="241"/>
    </row>
    <row r="36" spans="1:11" x14ac:dyDescent="0.25">
      <c r="B36" s="240"/>
      <c r="C36" s="182"/>
      <c r="D36" s="362"/>
      <c r="E36" s="360"/>
      <c r="F36" s="401"/>
      <c r="G36" s="401"/>
      <c r="H36" s="6"/>
      <c r="I36" s="243"/>
      <c r="J36" s="244"/>
      <c r="K36" s="241"/>
    </row>
    <row r="37" spans="1:11" x14ac:dyDescent="0.25">
      <c r="D37" s="362"/>
      <c r="E37" s="360"/>
      <c r="F37" s="401"/>
      <c r="G37" s="401"/>
      <c r="H37" s="6"/>
      <c r="I37" s="243"/>
      <c r="J37" s="244"/>
      <c r="K37" s="241"/>
    </row>
    <row r="38" spans="1:11" x14ac:dyDescent="0.25">
      <c r="D38" s="362"/>
      <c r="E38" s="360"/>
      <c r="F38" s="401"/>
      <c r="G38" s="401"/>
      <c r="H38" s="403"/>
      <c r="I38" s="403"/>
      <c r="J38" s="403"/>
      <c r="K38" s="403"/>
    </row>
    <row r="39" spans="1:11" x14ac:dyDescent="0.25">
      <c r="D39" s="362"/>
      <c r="E39" s="360"/>
      <c r="F39" s="401"/>
      <c r="G39" s="401"/>
      <c r="H39" s="403"/>
      <c r="I39" s="403"/>
      <c r="J39" s="403"/>
      <c r="K39" s="403"/>
    </row>
    <row r="40" spans="1:11" x14ac:dyDescent="0.25">
      <c r="D40" s="362"/>
      <c r="E40" s="360"/>
      <c r="F40" s="401"/>
      <c r="G40" s="401"/>
      <c r="H40" s="403"/>
      <c r="I40" s="403"/>
      <c r="J40" s="403"/>
      <c r="K40" s="403"/>
    </row>
  </sheetData>
  <mergeCells count="28">
    <mergeCell ref="H38:K38"/>
    <mergeCell ref="H39:K39"/>
    <mergeCell ref="H40:K40"/>
    <mergeCell ref="D32:E32"/>
    <mergeCell ref="H32:K32"/>
    <mergeCell ref="D33:E33"/>
    <mergeCell ref="H33:K33"/>
    <mergeCell ref="D34:E34"/>
    <mergeCell ref="H34:K34"/>
    <mergeCell ref="H26:K26"/>
    <mergeCell ref="A1:K1"/>
    <mergeCell ref="A9:E9"/>
    <mergeCell ref="A2:A4"/>
    <mergeCell ref="B2:B4"/>
    <mergeCell ref="C2:C4"/>
    <mergeCell ref="D2:D4"/>
    <mergeCell ref="E2:E4"/>
    <mergeCell ref="F2:F4"/>
    <mergeCell ref="H2:H4"/>
    <mergeCell ref="I2:I4"/>
    <mergeCell ref="J2:J4"/>
    <mergeCell ref="K2:K4"/>
    <mergeCell ref="A23:E23"/>
    <mergeCell ref="B29:C29"/>
    <mergeCell ref="A24:I24"/>
    <mergeCell ref="A26:C26"/>
    <mergeCell ref="B27:C27"/>
    <mergeCell ref="B28:C28"/>
  </mergeCells>
  <printOptions horizontalCentered="1"/>
  <pageMargins left="0.31496062992125984" right="0.35433070866141736" top="1.1811023622047245" bottom="1.1811023622047245" header="0.31496062992125984" footer="0.31496062992125984"/>
  <pageSetup paperSize="9" scale="68"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3"/>
  <sheetViews>
    <sheetView view="pageBreakPreview" zoomScaleNormal="84" zoomScaleSheetLayoutView="100" workbookViewId="0">
      <selection sqref="A1:K1"/>
    </sheetView>
  </sheetViews>
  <sheetFormatPr defaultRowHeight="15" x14ac:dyDescent="0.2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3.42578125" style="250" customWidth="1"/>
    <col min="11" max="11" width="9.140625" style="251"/>
    <col min="12" max="12" width="9.140625" style="190"/>
    <col min="13" max="13" width="9.140625" style="191"/>
    <col min="14" max="16384" width="9.140625" style="190"/>
  </cols>
  <sheetData>
    <row r="1" spans="1:16" ht="36" customHeight="1" thickBot="1" x14ac:dyDescent="0.3">
      <c r="A1" s="516" t="s">
        <v>156</v>
      </c>
      <c r="B1" s="517"/>
      <c r="C1" s="517"/>
      <c r="D1" s="517"/>
      <c r="E1" s="517"/>
      <c r="F1" s="517"/>
      <c r="G1" s="517"/>
      <c r="H1" s="517"/>
      <c r="I1" s="517"/>
      <c r="J1" s="517"/>
      <c r="K1" s="518"/>
    </row>
    <row r="2" spans="1:16" ht="43.5" customHeight="1" x14ac:dyDescent="0.25">
      <c r="A2" s="494" t="s">
        <v>20</v>
      </c>
      <c r="B2" s="476" t="s">
        <v>21</v>
      </c>
      <c r="C2" s="476" t="s">
        <v>6</v>
      </c>
      <c r="D2" s="476" t="s">
        <v>27</v>
      </c>
      <c r="E2" s="479" t="s">
        <v>22</v>
      </c>
      <c r="F2" s="479" t="s">
        <v>65</v>
      </c>
      <c r="G2" s="192" t="s">
        <v>74</v>
      </c>
      <c r="H2" s="479" t="s">
        <v>23</v>
      </c>
      <c r="I2" s="485" t="s">
        <v>24</v>
      </c>
      <c r="J2" s="488" t="s">
        <v>40</v>
      </c>
      <c r="K2" s="491" t="s">
        <v>25</v>
      </c>
    </row>
    <row r="3" spans="1:16" ht="29.25" customHeight="1" x14ac:dyDescent="0.25">
      <c r="A3" s="495"/>
      <c r="B3" s="477"/>
      <c r="C3" s="477"/>
      <c r="D3" s="477"/>
      <c r="E3" s="480"/>
      <c r="F3" s="480"/>
      <c r="G3" s="116">
        <v>20.09</v>
      </c>
      <c r="H3" s="480"/>
      <c r="I3" s="486"/>
      <c r="J3" s="489"/>
      <c r="K3" s="492"/>
    </row>
    <row r="4" spans="1:16" ht="9" hidden="1" customHeight="1" x14ac:dyDescent="0.25">
      <c r="A4" s="496"/>
      <c r="B4" s="478"/>
      <c r="C4" s="478"/>
      <c r="D4" s="478"/>
      <c r="E4" s="481"/>
      <c r="F4" s="481"/>
      <c r="G4" s="195">
        <f>(G3/100)+1</f>
        <v>1.2009000000000001</v>
      </c>
      <c r="H4" s="481"/>
      <c r="I4" s="487"/>
      <c r="J4" s="490"/>
      <c r="K4" s="493"/>
    </row>
    <row r="5" spans="1:16" x14ac:dyDescent="0.25">
      <c r="A5" s="13" t="s">
        <v>84</v>
      </c>
      <c r="B5" s="196"/>
      <c r="C5" s="180"/>
      <c r="D5" s="197" t="s">
        <v>13</v>
      </c>
      <c r="E5" s="181"/>
      <c r="F5" s="181"/>
      <c r="G5" s="181"/>
      <c r="H5" s="198"/>
      <c r="I5" s="199"/>
      <c r="J5" s="69"/>
      <c r="K5" s="19"/>
    </row>
    <row r="6" spans="1:16" x14ac:dyDescent="0.25">
      <c r="A6" s="219" t="s">
        <v>85</v>
      </c>
      <c r="B6" s="211"/>
      <c r="C6" s="211"/>
      <c r="D6" s="220" t="s">
        <v>78</v>
      </c>
      <c r="E6" s="221"/>
      <c r="F6" s="202"/>
      <c r="G6" s="202"/>
      <c r="H6" s="202"/>
      <c r="I6" s="212"/>
      <c r="J6" s="212"/>
      <c r="K6" s="147"/>
    </row>
    <row r="7" spans="1:16" ht="26.25" thickBot="1" x14ac:dyDescent="0.3">
      <c r="A7" s="222" t="s">
        <v>31</v>
      </c>
      <c r="B7" s="125" t="s">
        <v>106</v>
      </c>
      <c r="C7" s="200" t="s">
        <v>1</v>
      </c>
      <c r="D7" s="201" t="e">
        <f>LOOKUP(C7,#REF!,#REF!)</f>
        <v>#REF!</v>
      </c>
      <c r="E7" s="200" t="e">
        <f>LOOKUP(C7,#REF!,#REF!)</f>
        <v>#REF!</v>
      </c>
      <c r="F7" s="202"/>
      <c r="G7" s="138">
        <f>F7*G4</f>
        <v>0</v>
      </c>
      <c r="H7" s="202">
        <v>700.5</v>
      </c>
      <c r="I7" s="139">
        <f>G7*H7</f>
        <v>0</v>
      </c>
      <c r="J7" s="212"/>
      <c r="K7" s="132" t="e">
        <f>I7/J27</f>
        <v>#DIV/0!</v>
      </c>
      <c r="M7" s="191">
        <f t="shared" ref="M7:M20" si="0">F7*0.765</f>
        <v>0</v>
      </c>
    </row>
    <row r="8" spans="1:16" ht="15.75" thickBot="1" x14ac:dyDescent="0.3">
      <c r="A8" s="223"/>
      <c r="B8" s="224"/>
      <c r="C8" s="224"/>
      <c r="D8" s="225"/>
      <c r="E8" s="226"/>
      <c r="F8" s="206"/>
      <c r="G8" s="206"/>
      <c r="H8" s="207" t="s">
        <v>73</v>
      </c>
      <c r="I8" s="215"/>
      <c r="J8" s="216">
        <f>SUM(I7:I7)</f>
        <v>0</v>
      </c>
      <c r="K8" s="210" t="e">
        <f>J8/J27</f>
        <v>#DIV/0!</v>
      </c>
    </row>
    <row r="9" spans="1:16" x14ac:dyDescent="0.25">
      <c r="A9" s="219" t="s">
        <v>86</v>
      </c>
      <c r="B9" s="211"/>
      <c r="C9" s="211"/>
      <c r="D9" s="220" t="s">
        <v>15</v>
      </c>
      <c r="E9" s="211"/>
      <c r="F9" s="202"/>
      <c r="G9" s="202"/>
      <c r="H9" s="202"/>
      <c r="I9" s="212"/>
      <c r="J9" s="212"/>
      <c r="K9" s="147"/>
    </row>
    <row r="10" spans="1:16" ht="38.25" x14ac:dyDescent="0.25">
      <c r="A10" s="222" t="s">
        <v>33</v>
      </c>
      <c r="B10" s="125" t="s">
        <v>106</v>
      </c>
      <c r="C10" s="200" t="s">
        <v>3</v>
      </c>
      <c r="D10" s="201" t="e">
        <f>LOOKUP(C10,#REF!,#REF!)</f>
        <v>#REF!</v>
      </c>
      <c r="E10" s="200" t="e">
        <f>LOOKUP(C10,#REF!,#REF!)</f>
        <v>#REF!</v>
      </c>
      <c r="F10" s="202"/>
      <c r="G10" s="138">
        <f>F10*G4</f>
        <v>0</v>
      </c>
      <c r="H10" s="202">
        <v>700.5</v>
      </c>
      <c r="I10" s="139">
        <f>G10*H10</f>
        <v>0</v>
      </c>
      <c r="J10" s="212"/>
      <c r="K10" s="132" t="e">
        <f>I10/J27</f>
        <v>#DIV/0!</v>
      </c>
      <c r="M10" s="191">
        <f t="shared" si="0"/>
        <v>0</v>
      </c>
    </row>
    <row r="11" spans="1:16" ht="76.5" x14ac:dyDescent="0.25">
      <c r="A11" s="222" t="s">
        <v>34</v>
      </c>
      <c r="B11" s="127" t="s">
        <v>101</v>
      </c>
      <c r="C11" s="205">
        <v>94275</v>
      </c>
      <c r="D11" s="227" t="s">
        <v>82</v>
      </c>
      <c r="E11" s="200" t="s">
        <v>0</v>
      </c>
      <c r="F11" s="202"/>
      <c r="G11" s="138">
        <f>F11*G4</f>
        <v>0</v>
      </c>
      <c r="H11" s="202">
        <v>8</v>
      </c>
      <c r="I11" s="139">
        <f>G11*H11</f>
        <v>0</v>
      </c>
      <c r="J11" s="212"/>
      <c r="K11" s="132" t="e">
        <f>I11/J27</f>
        <v>#DIV/0!</v>
      </c>
      <c r="M11" s="191">
        <f t="shared" si="0"/>
        <v>0</v>
      </c>
      <c r="P11" s="191" t="e">
        <f>#REF!+F11</f>
        <v>#REF!</v>
      </c>
    </row>
    <row r="12" spans="1:16" ht="26.25" thickBot="1" x14ac:dyDescent="0.3">
      <c r="A12" s="222" t="s">
        <v>35</v>
      </c>
      <c r="B12" s="125" t="s">
        <v>106</v>
      </c>
      <c r="C12" s="200" t="s">
        <v>2</v>
      </c>
      <c r="D12" s="201" t="e">
        <f>LOOKUP(C12,#REF!,#REF!)</f>
        <v>#REF!</v>
      </c>
      <c r="E12" s="200" t="e">
        <f>LOOKUP(C12,#REF!,#REF!)</f>
        <v>#REF!</v>
      </c>
      <c r="F12" s="202"/>
      <c r="G12" s="138">
        <f>F12*G4</f>
        <v>0</v>
      </c>
      <c r="H12" s="202">
        <f>H11*0.3*0.11</f>
        <v>0.26400000000000001</v>
      </c>
      <c r="I12" s="139">
        <f>G12*H12</f>
        <v>0</v>
      </c>
      <c r="J12" s="212"/>
      <c r="K12" s="132" t="e">
        <f>I12/J27</f>
        <v>#DIV/0!</v>
      </c>
      <c r="M12" s="191">
        <f t="shared" si="0"/>
        <v>0</v>
      </c>
    </row>
    <row r="13" spans="1:16" ht="15.75" thickBot="1" x14ac:dyDescent="0.3">
      <c r="A13" s="223"/>
      <c r="B13" s="224"/>
      <c r="C13" s="224"/>
      <c r="D13" s="225"/>
      <c r="E13" s="226"/>
      <c r="F13" s="206"/>
      <c r="G13" s="206"/>
      <c r="H13" s="207" t="s">
        <v>61</v>
      </c>
      <c r="I13" s="215"/>
      <c r="J13" s="216">
        <f>SUM(I10:I12)</f>
        <v>0</v>
      </c>
      <c r="K13" s="210" t="e">
        <f>J13/J27</f>
        <v>#DIV/0!</v>
      </c>
    </row>
    <row r="14" spans="1:16" x14ac:dyDescent="0.25">
      <c r="A14" s="219" t="s">
        <v>87</v>
      </c>
      <c r="B14" s="211"/>
      <c r="C14" s="211"/>
      <c r="D14" s="228" t="s">
        <v>16</v>
      </c>
      <c r="E14" s="211"/>
      <c r="F14" s="202"/>
      <c r="G14" s="202"/>
      <c r="H14" s="202"/>
      <c r="I14" s="212"/>
      <c r="J14" s="212"/>
      <c r="K14" s="147"/>
    </row>
    <row r="15" spans="1:16" ht="25.5" x14ac:dyDescent="0.25">
      <c r="A15" s="222" t="s">
        <v>37</v>
      </c>
      <c r="B15" s="127" t="s">
        <v>101</v>
      </c>
      <c r="C15" s="200">
        <v>72947</v>
      </c>
      <c r="D15" s="201" t="s">
        <v>69</v>
      </c>
      <c r="E15" s="200" t="s">
        <v>9</v>
      </c>
      <c r="F15" s="202"/>
      <c r="G15" s="138">
        <f>F15*G4</f>
        <v>0</v>
      </c>
      <c r="H15" s="202">
        <v>25.04</v>
      </c>
      <c r="I15" s="139">
        <f>G15*H15</f>
        <v>0</v>
      </c>
      <c r="J15" s="212"/>
      <c r="K15" s="132" t="e">
        <f>I15/J27</f>
        <v>#DIV/0!</v>
      </c>
      <c r="M15" s="191">
        <f t="shared" si="0"/>
        <v>0</v>
      </c>
    </row>
    <row r="16" spans="1:16" ht="25.5" x14ac:dyDescent="0.25">
      <c r="A16" s="222" t="s">
        <v>38</v>
      </c>
      <c r="B16" s="125" t="s">
        <v>100</v>
      </c>
      <c r="C16" s="200" t="s">
        <v>11</v>
      </c>
      <c r="D16" s="201" t="e">
        <f>LOOKUP(C16,#REF!,#REF!)</f>
        <v>#REF!</v>
      </c>
      <c r="E16" s="200" t="e">
        <f>LOOKUP(C16,#REF!,#REF!)</f>
        <v>#REF!</v>
      </c>
      <c r="F16" s="202"/>
      <c r="G16" s="138">
        <f>F16*G4</f>
        <v>0</v>
      </c>
      <c r="H16" s="202">
        <f>0.28+0.32</f>
        <v>0.60000000000000009</v>
      </c>
      <c r="I16" s="139">
        <f t="shared" ref="I16:I25" si="1">G16*H16</f>
        <v>0</v>
      </c>
      <c r="J16" s="212"/>
      <c r="K16" s="132" t="e">
        <f>I16/J27</f>
        <v>#DIV/0!</v>
      </c>
      <c r="M16" s="191">
        <f t="shared" si="0"/>
        <v>0</v>
      </c>
    </row>
    <row r="17" spans="1:14" x14ac:dyDescent="0.25">
      <c r="A17" s="222" t="s">
        <v>39</v>
      </c>
      <c r="B17" s="125" t="s">
        <v>100</v>
      </c>
      <c r="C17" s="213" t="s">
        <v>19</v>
      </c>
      <c r="D17" s="201" t="e">
        <f>LOOKUP(C17,#REF!,#REF!)</f>
        <v>#REF!</v>
      </c>
      <c r="E17" s="200" t="e">
        <f>LOOKUP(C17,#REF!,#REF!)</f>
        <v>#REF!</v>
      </c>
      <c r="F17" s="202"/>
      <c r="G17" s="138">
        <f>F17*G4</f>
        <v>0</v>
      </c>
      <c r="H17" s="202">
        <f>2*3</f>
        <v>6</v>
      </c>
      <c r="I17" s="139">
        <f t="shared" si="1"/>
        <v>0</v>
      </c>
      <c r="J17" s="212"/>
      <c r="K17" s="132" t="e">
        <f>I17/J27</f>
        <v>#DIV/0!</v>
      </c>
      <c r="M17" s="191">
        <f t="shared" si="0"/>
        <v>0</v>
      </c>
    </row>
    <row r="18" spans="1:14" ht="25.5" x14ac:dyDescent="0.25">
      <c r="A18" s="222" t="s">
        <v>110</v>
      </c>
      <c r="B18" s="125" t="s">
        <v>100</v>
      </c>
      <c r="C18" s="213" t="s">
        <v>95</v>
      </c>
      <c r="D18" s="201" t="e">
        <f>LOOKUP(C18,#REF!,#REF!)</f>
        <v>#REF!</v>
      </c>
      <c r="E18" s="200" t="e">
        <f>LOOKUP(C18,#REF!,#REF!)</f>
        <v>#REF!</v>
      </c>
      <c r="F18" s="202"/>
      <c r="G18" s="138">
        <f>F18*G5</f>
        <v>0</v>
      </c>
      <c r="H18" s="202">
        <f>2*0.5</f>
        <v>1</v>
      </c>
      <c r="I18" s="139">
        <f>G18*H18</f>
        <v>0</v>
      </c>
      <c r="J18" s="212"/>
      <c r="K18" s="132" t="e">
        <f>I18/J27</f>
        <v>#DIV/0!</v>
      </c>
    </row>
    <row r="19" spans="1:14" s="6" customFormat="1" ht="25.5" x14ac:dyDescent="0.25">
      <c r="A19" s="222" t="s">
        <v>111</v>
      </c>
      <c r="B19" s="127" t="s">
        <v>101</v>
      </c>
      <c r="C19" s="213" t="s">
        <v>105</v>
      </c>
      <c r="D19" s="214" t="s">
        <v>57</v>
      </c>
      <c r="E19" s="218" t="s">
        <v>12</v>
      </c>
      <c r="F19" s="202"/>
      <c r="G19" s="138">
        <f>F19*G4</f>
        <v>0</v>
      </c>
      <c r="H19" s="202">
        <v>2</v>
      </c>
      <c r="I19" s="139">
        <f t="shared" si="1"/>
        <v>0</v>
      </c>
      <c r="J19" s="212"/>
      <c r="K19" s="132" t="e">
        <f>I19/J27</f>
        <v>#DIV/0!</v>
      </c>
      <c r="M19" s="191">
        <f t="shared" si="0"/>
        <v>0</v>
      </c>
      <c r="N19" s="6">
        <v>4</v>
      </c>
    </row>
    <row r="20" spans="1:14" s="6" customFormat="1" ht="25.5" x14ac:dyDescent="0.25">
      <c r="A20" s="222" t="s">
        <v>112</v>
      </c>
      <c r="B20" s="125" t="s">
        <v>100</v>
      </c>
      <c r="C20" s="200" t="s">
        <v>10</v>
      </c>
      <c r="D20" s="201" t="s">
        <v>58</v>
      </c>
      <c r="E20" s="200" t="e">
        <f>LOOKUP(C20,#REF!,#REF!)</f>
        <v>#REF!</v>
      </c>
      <c r="F20" s="202"/>
      <c r="G20" s="138">
        <f>F20*G4</f>
        <v>0</v>
      </c>
      <c r="H20" s="202">
        <v>27.38</v>
      </c>
      <c r="I20" s="139">
        <f t="shared" si="1"/>
        <v>0</v>
      </c>
      <c r="J20" s="212"/>
      <c r="K20" s="132" t="e">
        <f t="shared" ref="K20:K25" si="2">I20/$J$27</f>
        <v>#DIV/0!</v>
      </c>
      <c r="M20" s="191">
        <f t="shared" si="0"/>
        <v>0</v>
      </c>
    </row>
    <row r="21" spans="1:14" s="6" customFormat="1" ht="25.5" x14ac:dyDescent="0.25">
      <c r="A21" s="222" t="s">
        <v>113</v>
      </c>
      <c r="B21" s="125" t="s">
        <v>100</v>
      </c>
      <c r="C21" s="128" t="s">
        <v>96</v>
      </c>
      <c r="D21" s="201" t="e">
        <f>LOOKUP(C21,#REF!,#REF!)</f>
        <v>#REF!</v>
      </c>
      <c r="E21" s="200" t="e">
        <f>LOOKUP(C21,#REF!,#REF!)</f>
        <v>#REF!</v>
      </c>
      <c r="F21" s="202"/>
      <c r="G21" s="138">
        <f>F21*$G$4</f>
        <v>0</v>
      </c>
      <c r="H21" s="353">
        <f>1.13*N19</f>
        <v>4.5199999999999996</v>
      </c>
      <c r="I21" s="139">
        <f t="shared" si="1"/>
        <v>0</v>
      </c>
      <c r="J21" s="212"/>
      <c r="K21" s="132" t="e">
        <f t="shared" si="2"/>
        <v>#DIV/0!</v>
      </c>
      <c r="M21" s="191"/>
    </row>
    <row r="22" spans="1:14" s="6" customFormat="1" ht="38.25" x14ac:dyDescent="0.25">
      <c r="A22" s="222" t="s">
        <v>114</v>
      </c>
      <c r="B22" s="125" t="s">
        <v>100</v>
      </c>
      <c r="C22" s="128" t="s">
        <v>97</v>
      </c>
      <c r="D22" s="201" t="e">
        <f>LOOKUP(C22,#REF!,#REF!)</f>
        <v>#REF!</v>
      </c>
      <c r="E22" s="200" t="e">
        <f>LOOKUP(C22,#REF!,#REF!)</f>
        <v>#REF!</v>
      </c>
      <c r="F22" s="202"/>
      <c r="G22" s="138">
        <f>F22*$G$4</f>
        <v>0</v>
      </c>
      <c r="H22" s="353">
        <f>1.13*N19</f>
        <v>4.5199999999999996</v>
      </c>
      <c r="I22" s="139">
        <f t="shared" si="1"/>
        <v>0</v>
      </c>
      <c r="J22" s="212"/>
      <c r="K22" s="132" t="e">
        <f t="shared" si="2"/>
        <v>#DIV/0!</v>
      </c>
      <c r="M22" s="191"/>
    </row>
    <row r="23" spans="1:14" s="6" customFormat="1" x14ac:dyDescent="0.25">
      <c r="A23" s="222" t="s">
        <v>122</v>
      </c>
      <c r="B23" s="125" t="s">
        <v>100</v>
      </c>
      <c r="C23" s="128" t="s">
        <v>94</v>
      </c>
      <c r="D23" s="201" t="e">
        <f>LOOKUP(C23,#REF!,#REF!)</f>
        <v>#REF!</v>
      </c>
      <c r="E23" s="200" t="e">
        <f>LOOKUP(C23,#REF!,#REF!)</f>
        <v>#REF!</v>
      </c>
      <c r="F23" s="202"/>
      <c r="G23" s="138">
        <f>F23*$G$4</f>
        <v>0</v>
      </c>
      <c r="H23" s="353">
        <f>0.26*N19</f>
        <v>1.04</v>
      </c>
      <c r="I23" s="139">
        <f t="shared" si="1"/>
        <v>0</v>
      </c>
      <c r="J23" s="212"/>
      <c r="K23" s="132" t="e">
        <f t="shared" si="2"/>
        <v>#DIV/0!</v>
      </c>
      <c r="M23" s="191"/>
    </row>
    <row r="24" spans="1:14" s="6" customFormat="1" x14ac:dyDescent="0.25">
      <c r="A24" s="222" t="s">
        <v>123</v>
      </c>
      <c r="B24" s="125" t="s">
        <v>100</v>
      </c>
      <c r="C24" s="128" t="s">
        <v>92</v>
      </c>
      <c r="D24" s="201" t="e">
        <f>LOOKUP(C24,#REF!,#REF!)</f>
        <v>#REF!</v>
      </c>
      <c r="E24" s="200" t="e">
        <f>LOOKUP(C24,#REF!,#REF!)</f>
        <v>#REF!</v>
      </c>
      <c r="F24" s="202"/>
      <c r="G24" s="138">
        <f>F24*$G$4</f>
        <v>0</v>
      </c>
      <c r="H24" s="353">
        <f>0.97*N19</f>
        <v>3.88</v>
      </c>
      <c r="I24" s="139">
        <f t="shared" si="1"/>
        <v>0</v>
      </c>
      <c r="J24" s="212"/>
      <c r="K24" s="132" t="e">
        <f t="shared" si="2"/>
        <v>#DIV/0!</v>
      </c>
      <c r="M24" s="191"/>
    </row>
    <row r="25" spans="1:14" s="6" customFormat="1" ht="26.25" thickBot="1" x14ac:dyDescent="0.3">
      <c r="A25" s="222" t="s">
        <v>124</v>
      </c>
      <c r="B25" s="125" t="s">
        <v>100</v>
      </c>
      <c r="C25" s="128" t="s">
        <v>93</v>
      </c>
      <c r="D25" s="201" t="e">
        <f>LOOKUP(C25,#REF!,#REF!)</f>
        <v>#REF!</v>
      </c>
      <c r="E25" s="200" t="e">
        <f>LOOKUP(C25,#REF!,#REF!)</f>
        <v>#REF!</v>
      </c>
      <c r="F25" s="202"/>
      <c r="G25" s="138">
        <f>F25*$G$4</f>
        <v>0</v>
      </c>
      <c r="H25" s="353">
        <f>0.97*N19</f>
        <v>3.88</v>
      </c>
      <c r="I25" s="139">
        <f t="shared" si="1"/>
        <v>0</v>
      </c>
      <c r="J25" s="212"/>
      <c r="K25" s="132" t="e">
        <f t="shared" si="2"/>
        <v>#DIV/0!</v>
      </c>
      <c r="M25" s="191"/>
    </row>
    <row r="26" spans="1:14" s="6" customFormat="1" ht="15.75" customHeight="1" thickBot="1" x14ac:dyDescent="0.3">
      <c r="A26" s="519"/>
      <c r="B26" s="520"/>
      <c r="C26" s="520"/>
      <c r="D26" s="520"/>
      <c r="E26" s="521"/>
      <c r="F26" s="206"/>
      <c r="G26" s="206"/>
      <c r="H26" s="207" t="s">
        <v>62</v>
      </c>
      <c r="I26" s="215"/>
      <c r="J26" s="216">
        <f>SUM(I15:I25)</f>
        <v>0</v>
      </c>
      <c r="K26" s="210" t="e">
        <f>J26/J27</f>
        <v>#DIV/0!</v>
      </c>
      <c r="M26" s="186"/>
    </row>
    <row r="27" spans="1:14" s="254" customFormat="1" ht="16.5" thickBot="1" x14ac:dyDescent="0.3">
      <c r="A27" s="504" t="s">
        <v>127</v>
      </c>
      <c r="B27" s="524"/>
      <c r="C27" s="524"/>
      <c r="D27" s="524"/>
      <c r="E27" s="524"/>
      <c r="F27" s="524"/>
      <c r="G27" s="524"/>
      <c r="H27" s="524"/>
      <c r="I27" s="525"/>
      <c r="J27" s="252">
        <f>SUM(J5:J26)</f>
        <v>0</v>
      </c>
      <c r="K27" s="253" t="e">
        <f>K8+K13+K26</f>
        <v>#DIV/0!</v>
      </c>
      <c r="M27" s="255"/>
    </row>
    <row r="28" spans="1:14" x14ac:dyDescent="0.25">
      <c r="A28" s="259"/>
      <c r="B28" s="260"/>
      <c r="C28" s="259"/>
      <c r="D28" s="261"/>
      <c r="E28" s="259"/>
      <c r="F28" s="260"/>
      <c r="G28" s="260"/>
      <c r="H28" s="260"/>
      <c r="I28" s="262"/>
      <c r="J28" s="263"/>
      <c r="K28" s="264"/>
    </row>
    <row r="29" spans="1:14" x14ac:dyDescent="0.25">
      <c r="A29" s="514" t="s">
        <v>89</v>
      </c>
      <c r="B29" s="515"/>
      <c r="C29" s="515"/>
      <c r="D29" s="331"/>
      <c r="E29" s="361"/>
      <c r="F29" s="361"/>
      <c r="G29" s="361"/>
      <c r="H29" s="499" t="s">
        <v>167</v>
      </c>
      <c r="I29" s="499"/>
      <c r="J29" s="499"/>
      <c r="K29" s="499"/>
    </row>
    <row r="30" spans="1:14" x14ac:dyDescent="0.25">
      <c r="A30" s="331"/>
      <c r="B30" s="497" t="s">
        <v>102</v>
      </c>
      <c r="C30" s="497"/>
      <c r="D30" s="332"/>
      <c r="E30" s="332"/>
      <c r="F30" s="332"/>
      <c r="G30" s="332"/>
      <c r="H30" s="332"/>
      <c r="I30" s="332"/>
      <c r="J30" s="332"/>
      <c r="K30" s="332"/>
    </row>
    <row r="31" spans="1:14" x14ac:dyDescent="0.25">
      <c r="A31" s="331"/>
      <c r="B31" s="498" t="s">
        <v>103</v>
      </c>
      <c r="C31" s="498"/>
      <c r="D31" s="332"/>
      <c r="E31" s="332"/>
      <c r="F31" s="332"/>
      <c r="G31" s="332"/>
      <c r="H31" s="332"/>
      <c r="I31" s="332"/>
      <c r="J31" s="332"/>
      <c r="K31" s="332"/>
    </row>
    <row r="32" spans="1:14" x14ac:dyDescent="0.25">
      <c r="A32" s="333"/>
      <c r="B32" s="498" t="s">
        <v>104</v>
      </c>
      <c r="C32" s="498"/>
      <c r="D32" s="332"/>
      <c r="E32" s="332"/>
      <c r="F32" s="332"/>
      <c r="G32" s="332"/>
      <c r="H32" s="332"/>
      <c r="I32" s="332"/>
      <c r="J32" s="332"/>
      <c r="K32" s="332"/>
    </row>
    <row r="33" spans="1:11" x14ac:dyDescent="0.25">
      <c r="A33" s="182"/>
      <c r="B33" s="240"/>
      <c r="C33" s="182"/>
      <c r="D33" s="242"/>
      <c r="E33" s="182"/>
      <c r="F33" s="240"/>
      <c r="G33" s="240"/>
      <c r="H33" s="6"/>
      <c r="I33" s="243"/>
      <c r="J33" s="244"/>
      <c r="K33" s="241"/>
    </row>
    <row r="34" spans="1:11" x14ac:dyDescent="0.25">
      <c r="D34" s="362"/>
      <c r="E34" s="360"/>
      <c r="F34" s="401"/>
      <c r="G34" s="401"/>
      <c r="H34" s="401"/>
      <c r="I34" s="243"/>
      <c r="J34" s="244"/>
      <c r="K34" s="245"/>
    </row>
    <row r="35" spans="1:11" x14ac:dyDescent="0.25">
      <c r="D35" s="403"/>
      <c r="E35" s="403"/>
      <c r="F35" s="402"/>
      <c r="G35" s="533"/>
      <c r="H35" s="403"/>
      <c r="I35" s="403"/>
      <c r="J35" s="403"/>
      <c r="K35" s="403"/>
    </row>
    <row r="36" spans="1:11" x14ac:dyDescent="0.25">
      <c r="D36" s="403"/>
      <c r="E36" s="403"/>
      <c r="F36" s="401"/>
      <c r="G36" s="536"/>
      <c r="H36" s="403"/>
      <c r="I36" s="403"/>
      <c r="J36" s="403"/>
      <c r="K36" s="403"/>
    </row>
    <row r="37" spans="1:11" x14ac:dyDescent="0.25">
      <c r="D37" s="403"/>
      <c r="E37" s="403"/>
      <c r="F37" s="401"/>
      <c r="G37" s="401"/>
      <c r="H37" s="503"/>
      <c r="I37" s="503"/>
      <c r="J37" s="503"/>
      <c r="K37" s="503"/>
    </row>
    <row r="38" spans="1:11" x14ac:dyDescent="0.25">
      <c r="D38" s="362"/>
      <c r="E38" s="360"/>
      <c r="F38" s="401"/>
      <c r="G38" s="401"/>
      <c r="H38" s="6"/>
      <c r="I38" s="243"/>
      <c r="J38" s="244"/>
      <c r="K38" s="241"/>
    </row>
    <row r="39" spans="1:11" x14ac:dyDescent="0.25">
      <c r="D39" s="362"/>
      <c r="E39" s="360"/>
      <c r="F39" s="401"/>
      <c r="G39" s="401"/>
      <c r="H39" s="6"/>
      <c r="I39" s="243"/>
      <c r="J39" s="244"/>
      <c r="K39" s="241"/>
    </row>
    <row r="40" spans="1:11" x14ac:dyDescent="0.25">
      <c r="D40" s="362"/>
      <c r="E40" s="360"/>
      <c r="F40" s="401"/>
      <c r="G40" s="401"/>
      <c r="H40" s="6"/>
      <c r="I40" s="243"/>
      <c r="J40" s="244"/>
      <c r="K40" s="241"/>
    </row>
    <row r="41" spans="1:11" x14ac:dyDescent="0.25">
      <c r="D41" s="362"/>
      <c r="E41" s="360"/>
      <c r="F41" s="401"/>
      <c r="G41" s="401"/>
      <c r="H41" s="403"/>
      <c r="I41" s="403"/>
      <c r="J41" s="403"/>
      <c r="K41" s="403"/>
    </row>
    <row r="42" spans="1:11" x14ac:dyDescent="0.25">
      <c r="D42" s="362"/>
      <c r="E42" s="360"/>
      <c r="F42" s="401"/>
      <c r="G42" s="401"/>
      <c r="H42" s="403"/>
      <c r="I42" s="403"/>
      <c r="J42" s="403"/>
      <c r="K42" s="403"/>
    </row>
    <row r="43" spans="1:11" x14ac:dyDescent="0.25">
      <c r="D43" s="362"/>
      <c r="E43" s="360"/>
      <c r="F43" s="401"/>
      <c r="G43" s="401"/>
      <c r="H43" s="403"/>
      <c r="I43" s="403"/>
      <c r="J43" s="403"/>
      <c r="K43" s="403"/>
    </row>
  </sheetData>
  <mergeCells count="27">
    <mergeCell ref="H41:K41"/>
    <mergeCell ref="H42:K42"/>
    <mergeCell ref="H43:K43"/>
    <mergeCell ref="D35:E35"/>
    <mergeCell ref="H35:K35"/>
    <mergeCell ref="D36:E36"/>
    <mergeCell ref="H36:K36"/>
    <mergeCell ref="D37:E37"/>
    <mergeCell ref="H37:K37"/>
    <mergeCell ref="H29:K29"/>
    <mergeCell ref="A1:K1"/>
    <mergeCell ref="A2:A4"/>
    <mergeCell ref="B2:B4"/>
    <mergeCell ref="C2:C4"/>
    <mergeCell ref="D2:D4"/>
    <mergeCell ref="E2:E4"/>
    <mergeCell ref="F2:F4"/>
    <mergeCell ref="H2:H4"/>
    <mergeCell ref="I2:I4"/>
    <mergeCell ref="J2:J4"/>
    <mergeCell ref="K2:K4"/>
    <mergeCell ref="B32:C32"/>
    <mergeCell ref="A26:E26"/>
    <mergeCell ref="A27:I27"/>
    <mergeCell ref="A29:C29"/>
    <mergeCell ref="B30:C30"/>
    <mergeCell ref="B31:C31"/>
  </mergeCells>
  <printOptions horizontalCentered="1"/>
  <pageMargins left="0.31496062992125984" right="0.35433070866141736" top="1.1811023622047245" bottom="1.1811023622047245" header="0.31496062992125984" footer="0.31496062992125984"/>
  <pageSetup paperSize="9" scale="68"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8"/>
  <sheetViews>
    <sheetView view="pageBreakPreview" zoomScaleNormal="84" zoomScaleSheetLayoutView="100" workbookViewId="0">
      <selection sqref="A1:K1"/>
    </sheetView>
  </sheetViews>
  <sheetFormatPr defaultRowHeight="15" x14ac:dyDescent="0.2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3.42578125" style="250" customWidth="1"/>
    <col min="11" max="11" width="9.140625" style="251"/>
    <col min="12" max="12" width="9.140625" style="190"/>
    <col min="13" max="13" width="9.140625" style="191"/>
    <col min="14" max="16384" width="9.140625" style="190"/>
  </cols>
  <sheetData>
    <row r="1" spans="1:13" ht="36" customHeight="1" thickBot="1" x14ac:dyDescent="0.3">
      <c r="A1" s="516" t="s">
        <v>157</v>
      </c>
      <c r="B1" s="517"/>
      <c r="C1" s="517"/>
      <c r="D1" s="517"/>
      <c r="E1" s="517"/>
      <c r="F1" s="517"/>
      <c r="G1" s="517"/>
      <c r="H1" s="517"/>
      <c r="I1" s="517"/>
      <c r="J1" s="517"/>
      <c r="K1" s="518"/>
    </row>
    <row r="2" spans="1:13" ht="43.5" customHeight="1" x14ac:dyDescent="0.25">
      <c r="A2" s="494" t="s">
        <v>20</v>
      </c>
      <c r="B2" s="476" t="s">
        <v>21</v>
      </c>
      <c r="C2" s="476" t="s">
        <v>6</v>
      </c>
      <c r="D2" s="476" t="s">
        <v>27</v>
      </c>
      <c r="E2" s="479" t="s">
        <v>22</v>
      </c>
      <c r="F2" s="479" t="s">
        <v>65</v>
      </c>
      <c r="G2" s="192" t="s">
        <v>74</v>
      </c>
      <c r="H2" s="479" t="s">
        <v>23</v>
      </c>
      <c r="I2" s="485" t="s">
        <v>24</v>
      </c>
      <c r="J2" s="488" t="s">
        <v>40</v>
      </c>
      <c r="K2" s="491" t="s">
        <v>25</v>
      </c>
    </row>
    <row r="3" spans="1:13" ht="29.25" customHeight="1" x14ac:dyDescent="0.25">
      <c r="A3" s="495"/>
      <c r="B3" s="477"/>
      <c r="C3" s="477"/>
      <c r="D3" s="477"/>
      <c r="E3" s="480"/>
      <c r="F3" s="480"/>
      <c r="G3" s="116">
        <v>20.09</v>
      </c>
      <c r="H3" s="480"/>
      <c r="I3" s="486"/>
      <c r="J3" s="489"/>
      <c r="K3" s="492"/>
    </row>
    <row r="4" spans="1:13" ht="9" hidden="1" customHeight="1" x14ac:dyDescent="0.25">
      <c r="A4" s="496"/>
      <c r="B4" s="478"/>
      <c r="C4" s="478"/>
      <c r="D4" s="478"/>
      <c r="E4" s="481"/>
      <c r="F4" s="481"/>
      <c r="G4" s="195">
        <f>(G3/100)+1</f>
        <v>1.2009000000000001</v>
      </c>
      <c r="H4" s="481"/>
      <c r="I4" s="487"/>
      <c r="J4" s="490"/>
      <c r="K4" s="493"/>
    </row>
    <row r="5" spans="1:13" x14ac:dyDescent="0.25">
      <c r="A5" s="13" t="s">
        <v>84</v>
      </c>
      <c r="B5" s="196"/>
      <c r="C5" s="196"/>
      <c r="D5" s="369" t="s">
        <v>13</v>
      </c>
      <c r="E5" s="370"/>
      <c r="F5" s="370"/>
      <c r="G5" s="370"/>
      <c r="H5" s="198"/>
      <c r="I5" s="199"/>
      <c r="J5" s="69"/>
      <c r="K5" s="19"/>
    </row>
    <row r="6" spans="1:13" ht="25.5" x14ac:dyDescent="0.25">
      <c r="A6" s="143" t="s">
        <v>85</v>
      </c>
      <c r="B6" s="146"/>
      <c r="C6" s="211"/>
      <c r="D6" s="217" t="s">
        <v>68</v>
      </c>
      <c r="E6" s="211"/>
      <c r="F6" s="202"/>
      <c r="G6" s="202"/>
      <c r="H6" s="202"/>
      <c r="I6" s="212"/>
      <c r="J6" s="212"/>
      <c r="K6" s="147"/>
    </row>
    <row r="7" spans="1:13" ht="27.75" customHeight="1" x14ac:dyDescent="0.25">
      <c r="A7" s="145" t="s">
        <v>31</v>
      </c>
      <c r="B7" s="125" t="s">
        <v>100</v>
      </c>
      <c r="C7" s="200" t="s">
        <v>7</v>
      </c>
      <c r="D7" s="201" t="e">
        <f>LOOKUP(C7,#REF!,#REF!)</f>
        <v>#REF!</v>
      </c>
      <c r="E7" s="200" t="e">
        <f>LOOKUP(C7,#REF!,#REF!)</f>
        <v>#REF!</v>
      </c>
      <c r="F7" s="202"/>
      <c r="G7" s="138">
        <f>F7*G4</f>
        <v>0</v>
      </c>
      <c r="H7" s="202">
        <v>0.6</v>
      </c>
      <c r="I7" s="139">
        <f>G7*H7</f>
        <v>0</v>
      </c>
      <c r="J7" s="212"/>
      <c r="K7" s="132" t="e">
        <f>I7/J31</f>
        <v>#DIV/0!</v>
      </c>
      <c r="M7" s="191">
        <f>F7*0.765</f>
        <v>0</v>
      </c>
    </row>
    <row r="8" spans="1:13" ht="26.25" thickBot="1" x14ac:dyDescent="0.3">
      <c r="A8" s="145" t="s">
        <v>32</v>
      </c>
      <c r="B8" s="125" t="s">
        <v>100</v>
      </c>
      <c r="C8" s="128" t="s">
        <v>98</v>
      </c>
      <c r="D8" s="201" t="e">
        <f>LOOKUP(C8,#REF!,#REF!)</f>
        <v>#REF!</v>
      </c>
      <c r="E8" s="200" t="e">
        <f>LOOKUP(C8,#REF!,#REF!)</f>
        <v>#REF!</v>
      </c>
      <c r="F8" s="202"/>
      <c r="G8" s="138">
        <f>F8*G4</f>
        <v>0</v>
      </c>
      <c r="H8" s="202">
        <v>2</v>
      </c>
      <c r="I8" s="139">
        <f>G8*H8</f>
        <v>0</v>
      </c>
      <c r="J8" s="212"/>
      <c r="K8" s="132" t="e">
        <f>I8/J31</f>
        <v>#DIV/0!</v>
      </c>
      <c r="M8" s="191">
        <f>F8*0.765</f>
        <v>0</v>
      </c>
    </row>
    <row r="9" spans="1:13" ht="15.75" thickBot="1" x14ac:dyDescent="0.3">
      <c r="A9" s="519"/>
      <c r="B9" s="520"/>
      <c r="C9" s="520"/>
      <c r="D9" s="520"/>
      <c r="E9" s="521"/>
      <c r="F9" s="206"/>
      <c r="G9" s="206"/>
      <c r="H9" s="207" t="s">
        <v>73</v>
      </c>
      <c r="I9" s="215"/>
      <c r="J9" s="216">
        <f>SUM(I7:I8)</f>
        <v>0</v>
      </c>
      <c r="K9" s="210" t="e">
        <f>J9/J31</f>
        <v>#DIV/0!</v>
      </c>
    </row>
    <row r="10" spans="1:13" x14ac:dyDescent="0.25">
      <c r="A10" s="219" t="s">
        <v>86</v>
      </c>
      <c r="B10" s="211"/>
      <c r="C10" s="211"/>
      <c r="D10" s="220" t="s">
        <v>78</v>
      </c>
      <c r="E10" s="221"/>
      <c r="F10" s="202"/>
      <c r="G10" s="202"/>
      <c r="H10" s="202"/>
      <c r="I10" s="212"/>
      <c r="J10" s="212"/>
      <c r="K10" s="147"/>
    </row>
    <row r="11" spans="1:13" ht="26.25" thickBot="1" x14ac:dyDescent="0.3">
      <c r="A11" s="222" t="s">
        <v>33</v>
      </c>
      <c r="B11" s="125" t="s">
        <v>100</v>
      </c>
      <c r="C11" s="200" t="s">
        <v>1</v>
      </c>
      <c r="D11" s="201" t="e">
        <f>LOOKUP(C11,#REF!,#REF!)</f>
        <v>#REF!</v>
      </c>
      <c r="E11" s="200" t="e">
        <f>LOOKUP(C11,#REF!,#REF!)</f>
        <v>#REF!</v>
      </c>
      <c r="F11" s="202"/>
      <c r="G11" s="138">
        <f>F11*G4</f>
        <v>0</v>
      </c>
      <c r="H11" s="202">
        <v>494.06</v>
      </c>
      <c r="I11" s="139">
        <f>G11*H11</f>
        <v>0</v>
      </c>
      <c r="J11" s="212"/>
      <c r="K11" s="132" t="e">
        <f>I11/J31</f>
        <v>#DIV/0!</v>
      </c>
      <c r="M11" s="191">
        <f>F11*0.765</f>
        <v>0</v>
      </c>
    </row>
    <row r="12" spans="1:13" ht="15.75" thickBot="1" x14ac:dyDescent="0.3">
      <c r="A12" s="223"/>
      <c r="B12" s="224"/>
      <c r="C12" s="224"/>
      <c r="D12" s="225"/>
      <c r="E12" s="226"/>
      <c r="F12" s="206"/>
      <c r="G12" s="206"/>
      <c r="H12" s="207" t="s">
        <v>61</v>
      </c>
      <c r="I12" s="215"/>
      <c r="J12" s="216">
        <f>SUM(I11:I11)</f>
        <v>0</v>
      </c>
      <c r="K12" s="210" t="e">
        <f>J12/J31</f>
        <v>#DIV/0!</v>
      </c>
    </row>
    <row r="13" spans="1:13" x14ac:dyDescent="0.25">
      <c r="A13" s="219" t="s">
        <v>87</v>
      </c>
      <c r="B13" s="211"/>
      <c r="C13" s="211"/>
      <c r="D13" s="220" t="s">
        <v>15</v>
      </c>
      <c r="E13" s="211"/>
      <c r="F13" s="202"/>
      <c r="G13" s="202"/>
      <c r="H13" s="202"/>
      <c r="I13" s="212"/>
      <c r="J13" s="212"/>
      <c r="K13" s="147"/>
    </row>
    <row r="14" spans="1:13" ht="38.25" x14ac:dyDescent="0.25">
      <c r="A14" s="222" t="s">
        <v>37</v>
      </c>
      <c r="B14" s="125" t="s">
        <v>100</v>
      </c>
      <c r="C14" s="200" t="s">
        <v>3</v>
      </c>
      <c r="D14" s="201" t="e">
        <f>LOOKUP(C14,#REF!,#REF!)</f>
        <v>#REF!</v>
      </c>
      <c r="E14" s="200" t="e">
        <f>LOOKUP(C14,#REF!,#REF!)</f>
        <v>#REF!</v>
      </c>
      <c r="F14" s="202"/>
      <c r="G14" s="138">
        <f>F14*G4</f>
        <v>0</v>
      </c>
      <c r="H14" s="202">
        <v>494.06</v>
      </c>
      <c r="I14" s="139">
        <f>G14*H14</f>
        <v>0</v>
      </c>
      <c r="J14" s="212"/>
      <c r="K14" s="132" t="e">
        <f>I14/J31</f>
        <v>#DIV/0!</v>
      </c>
      <c r="M14" s="191">
        <f>F14*0.765</f>
        <v>0</v>
      </c>
    </row>
    <row r="15" spans="1:13" ht="76.5" x14ac:dyDescent="0.25">
      <c r="A15" s="222" t="s">
        <v>38</v>
      </c>
      <c r="B15" s="135" t="s">
        <v>101</v>
      </c>
      <c r="C15" s="205">
        <v>94275</v>
      </c>
      <c r="D15" s="227" t="s">
        <v>83</v>
      </c>
      <c r="E15" s="200" t="s">
        <v>0</v>
      </c>
      <c r="F15" s="202"/>
      <c r="G15" s="138">
        <f>F15*G4</f>
        <v>0</v>
      </c>
      <c r="H15" s="202">
        <v>40</v>
      </c>
      <c r="I15" s="139">
        <f>G15*H15</f>
        <v>0</v>
      </c>
      <c r="J15" s="212"/>
      <c r="K15" s="132" t="e">
        <f>I15/J31</f>
        <v>#DIV/0!</v>
      </c>
      <c r="M15" s="191">
        <f>F15*0.765</f>
        <v>0</v>
      </c>
    </row>
    <row r="16" spans="1:13" ht="26.25" thickBot="1" x14ac:dyDescent="0.3">
      <c r="A16" s="222" t="s">
        <v>39</v>
      </c>
      <c r="B16" s="125" t="s">
        <v>100</v>
      </c>
      <c r="C16" s="200" t="s">
        <v>2</v>
      </c>
      <c r="D16" s="201" t="e">
        <f>LOOKUP(C16,#REF!,#REF!)</f>
        <v>#REF!</v>
      </c>
      <c r="E16" s="200" t="e">
        <f>LOOKUP(C16,#REF!,#REF!)</f>
        <v>#REF!</v>
      </c>
      <c r="F16" s="202"/>
      <c r="G16" s="138">
        <f>F16*G4</f>
        <v>0</v>
      </c>
      <c r="H16" s="202">
        <f>H15*0.3*0.11</f>
        <v>1.32</v>
      </c>
      <c r="I16" s="139">
        <f>G16*H16</f>
        <v>0</v>
      </c>
      <c r="J16" s="212"/>
      <c r="K16" s="132" t="e">
        <f>I16/J31</f>
        <v>#DIV/0!</v>
      </c>
      <c r="M16" s="191">
        <f>F16*0.765</f>
        <v>0</v>
      </c>
    </row>
    <row r="17" spans="1:14" ht="15.75" thickBot="1" x14ac:dyDescent="0.3">
      <c r="A17" s="223"/>
      <c r="B17" s="224"/>
      <c r="C17" s="224"/>
      <c r="D17" s="225"/>
      <c r="E17" s="226"/>
      <c r="F17" s="206"/>
      <c r="G17" s="206"/>
      <c r="H17" s="207" t="s">
        <v>62</v>
      </c>
      <c r="I17" s="215"/>
      <c r="J17" s="216">
        <f>SUM(I14:I16)</f>
        <v>0</v>
      </c>
      <c r="K17" s="210" t="e">
        <f>J17/J31</f>
        <v>#DIV/0!</v>
      </c>
    </row>
    <row r="18" spans="1:14" x14ac:dyDescent="0.25">
      <c r="A18" s="219" t="s">
        <v>88</v>
      </c>
      <c r="B18" s="211"/>
      <c r="C18" s="211"/>
      <c r="D18" s="228" t="s">
        <v>126</v>
      </c>
      <c r="E18" s="211"/>
      <c r="F18" s="202"/>
      <c r="G18" s="202"/>
      <c r="H18" s="202"/>
      <c r="I18" s="212"/>
      <c r="J18" s="212"/>
      <c r="K18" s="147"/>
    </row>
    <row r="19" spans="1:14" ht="25.5" x14ac:dyDescent="0.25">
      <c r="A19" s="222" t="s">
        <v>41</v>
      </c>
      <c r="B19" s="135" t="s">
        <v>101</v>
      </c>
      <c r="C19" s="200">
        <v>72947</v>
      </c>
      <c r="D19" s="201" t="s">
        <v>69</v>
      </c>
      <c r="E19" s="200" t="s">
        <v>9</v>
      </c>
      <c r="F19" s="202"/>
      <c r="G19" s="138">
        <f>F19*G4</f>
        <v>0</v>
      </c>
      <c r="H19" s="202">
        <f>16.48*3</f>
        <v>49.44</v>
      </c>
      <c r="I19" s="139">
        <f t="shared" ref="I19:I29" si="0">G19*H19</f>
        <v>0</v>
      </c>
      <c r="J19" s="212"/>
      <c r="K19" s="132" t="e">
        <f>I19/J31</f>
        <v>#DIV/0!</v>
      </c>
      <c r="M19" s="191">
        <f>F19*0.765</f>
        <v>0</v>
      </c>
    </row>
    <row r="20" spans="1:14" ht="25.5" x14ac:dyDescent="0.25">
      <c r="A20" s="222" t="s">
        <v>42</v>
      </c>
      <c r="B20" s="125" t="s">
        <v>100</v>
      </c>
      <c r="C20" s="200" t="s">
        <v>11</v>
      </c>
      <c r="D20" s="201" t="e">
        <f>LOOKUP(C20,#REF!,#REF!)</f>
        <v>#REF!</v>
      </c>
      <c r="E20" s="200" t="e">
        <f>LOOKUP(C20,#REF!,#REF!)</f>
        <v>#REF!</v>
      </c>
      <c r="F20" s="202"/>
      <c r="G20" s="138">
        <f>F20*G4</f>
        <v>0</v>
      </c>
      <c r="H20" s="202">
        <f>0.28+0.32</f>
        <v>0.60000000000000009</v>
      </c>
      <c r="I20" s="139">
        <f t="shared" si="0"/>
        <v>0</v>
      </c>
      <c r="J20" s="212"/>
      <c r="K20" s="132" t="e">
        <f>I20/J31</f>
        <v>#DIV/0!</v>
      </c>
      <c r="M20" s="191">
        <f>F20*0.765</f>
        <v>0</v>
      </c>
    </row>
    <row r="21" spans="1:14" x14ac:dyDescent="0.25">
      <c r="A21" s="222" t="s">
        <v>43</v>
      </c>
      <c r="B21" s="125" t="s">
        <v>100</v>
      </c>
      <c r="C21" s="213" t="s">
        <v>19</v>
      </c>
      <c r="D21" s="201" t="e">
        <f>LOOKUP(C21,#REF!,#REF!)</f>
        <v>#REF!</v>
      </c>
      <c r="E21" s="200" t="e">
        <f>LOOKUP(C21,#REF!,#REF!)</f>
        <v>#REF!</v>
      </c>
      <c r="F21" s="202"/>
      <c r="G21" s="138">
        <f>F21*G4</f>
        <v>0</v>
      </c>
      <c r="H21" s="202">
        <f>2*3</f>
        <v>6</v>
      </c>
      <c r="I21" s="139">
        <f t="shared" si="0"/>
        <v>0</v>
      </c>
      <c r="J21" s="212"/>
      <c r="K21" s="132" t="e">
        <f>I21/J31</f>
        <v>#DIV/0!</v>
      </c>
      <c r="M21" s="191">
        <f>F21*0.765</f>
        <v>0</v>
      </c>
    </row>
    <row r="22" spans="1:14" ht="25.5" x14ac:dyDescent="0.25">
      <c r="A22" s="222" t="s">
        <v>44</v>
      </c>
      <c r="B22" s="125" t="s">
        <v>100</v>
      </c>
      <c r="C22" s="213" t="s">
        <v>95</v>
      </c>
      <c r="D22" s="201" t="e">
        <f>LOOKUP(C22,#REF!,#REF!)</f>
        <v>#REF!</v>
      </c>
      <c r="E22" s="200" t="e">
        <f>LOOKUP(C22,#REF!,#REF!)</f>
        <v>#REF!</v>
      </c>
      <c r="F22" s="202"/>
      <c r="G22" s="138">
        <f>F22*G4</f>
        <v>0</v>
      </c>
      <c r="H22" s="202">
        <f>2*0.5</f>
        <v>1</v>
      </c>
      <c r="I22" s="139">
        <f t="shared" si="0"/>
        <v>0</v>
      </c>
      <c r="J22" s="212"/>
      <c r="K22" s="132" t="e">
        <f>I22/J31</f>
        <v>#DIV/0!</v>
      </c>
    </row>
    <row r="23" spans="1:14" s="6" customFormat="1" ht="25.5" x14ac:dyDescent="0.25">
      <c r="A23" s="222" t="s">
        <v>45</v>
      </c>
      <c r="B23" s="135" t="s">
        <v>101</v>
      </c>
      <c r="C23" s="213" t="s">
        <v>105</v>
      </c>
      <c r="D23" s="214" t="s">
        <v>57</v>
      </c>
      <c r="E23" s="218" t="s">
        <v>12</v>
      </c>
      <c r="F23" s="202"/>
      <c r="G23" s="138">
        <f>F23*G4</f>
        <v>0</v>
      </c>
      <c r="H23" s="202">
        <v>2</v>
      </c>
      <c r="I23" s="139">
        <f t="shared" si="0"/>
        <v>0</v>
      </c>
      <c r="J23" s="212"/>
      <c r="K23" s="132" t="e">
        <f>I23/J31</f>
        <v>#DIV/0!</v>
      </c>
      <c r="M23" s="191">
        <f>F23*0.765</f>
        <v>0</v>
      </c>
      <c r="N23" s="6">
        <v>6</v>
      </c>
    </row>
    <row r="24" spans="1:14" s="6" customFormat="1" ht="30" customHeight="1" x14ac:dyDescent="0.25">
      <c r="A24" s="222" t="s">
        <v>46</v>
      </c>
      <c r="B24" s="125" t="s">
        <v>100</v>
      </c>
      <c r="C24" s="200" t="s">
        <v>10</v>
      </c>
      <c r="D24" s="201" t="s">
        <v>58</v>
      </c>
      <c r="E24" s="200" t="e">
        <f>LOOKUP(C24,#REF!,#REF!)</f>
        <v>#REF!</v>
      </c>
      <c r="F24" s="202"/>
      <c r="G24" s="138">
        <f>F24*G4</f>
        <v>0</v>
      </c>
      <c r="H24" s="202">
        <v>23.32</v>
      </c>
      <c r="I24" s="139">
        <f t="shared" si="0"/>
        <v>0</v>
      </c>
      <c r="J24" s="212"/>
      <c r="K24" s="132" t="e">
        <f t="shared" ref="K24:K29" si="1">I24/$J$31</f>
        <v>#DIV/0!</v>
      </c>
      <c r="M24" s="191">
        <f>F24*0.765</f>
        <v>0</v>
      </c>
    </row>
    <row r="25" spans="1:14" s="6" customFormat="1" ht="30" customHeight="1" x14ac:dyDescent="0.25">
      <c r="A25" s="222" t="s">
        <v>117</v>
      </c>
      <c r="B25" s="125" t="s">
        <v>100</v>
      </c>
      <c r="C25" s="128" t="s">
        <v>96</v>
      </c>
      <c r="D25" s="201" t="e">
        <f>LOOKUP(C25,#REF!,#REF!)</f>
        <v>#REF!</v>
      </c>
      <c r="E25" s="200" t="e">
        <f>LOOKUP(C25,#REF!,#REF!)</f>
        <v>#REF!</v>
      </c>
      <c r="F25" s="202"/>
      <c r="G25" s="138">
        <f t="shared" ref="G25:G29" si="2">F25*$G$4</f>
        <v>0</v>
      </c>
      <c r="H25" s="353">
        <f>1.13*N23</f>
        <v>6.7799999999999994</v>
      </c>
      <c r="I25" s="139">
        <f t="shared" si="0"/>
        <v>0</v>
      </c>
      <c r="J25" s="212"/>
      <c r="K25" s="132" t="e">
        <f t="shared" si="1"/>
        <v>#DIV/0!</v>
      </c>
      <c r="M25" s="191"/>
    </row>
    <row r="26" spans="1:14" s="6" customFormat="1" ht="38.25" x14ac:dyDescent="0.25">
      <c r="A26" s="222" t="s">
        <v>118</v>
      </c>
      <c r="B26" s="125" t="s">
        <v>100</v>
      </c>
      <c r="C26" s="128" t="s">
        <v>97</v>
      </c>
      <c r="D26" s="201" t="e">
        <f>LOOKUP(C26,#REF!,#REF!)</f>
        <v>#REF!</v>
      </c>
      <c r="E26" s="200" t="e">
        <f>LOOKUP(C26,#REF!,#REF!)</f>
        <v>#REF!</v>
      </c>
      <c r="F26" s="202"/>
      <c r="G26" s="138">
        <f t="shared" si="2"/>
        <v>0</v>
      </c>
      <c r="H26" s="353">
        <f>1.13*N23</f>
        <v>6.7799999999999994</v>
      </c>
      <c r="I26" s="139">
        <f t="shared" si="0"/>
        <v>0</v>
      </c>
      <c r="J26" s="212"/>
      <c r="K26" s="132" t="e">
        <f t="shared" si="1"/>
        <v>#DIV/0!</v>
      </c>
      <c r="M26" s="191"/>
    </row>
    <row r="27" spans="1:14" s="6" customFormat="1" ht="30" customHeight="1" x14ac:dyDescent="0.25">
      <c r="A27" s="222" t="s">
        <v>119</v>
      </c>
      <c r="B27" s="125" t="s">
        <v>100</v>
      </c>
      <c r="C27" s="128" t="s">
        <v>94</v>
      </c>
      <c r="D27" s="201" t="e">
        <f>LOOKUP(C27,#REF!,#REF!)</f>
        <v>#REF!</v>
      </c>
      <c r="E27" s="200" t="e">
        <f>LOOKUP(C27,#REF!,#REF!)</f>
        <v>#REF!</v>
      </c>
      <c r="F27" s="202"/>
      <c r="G27" s="138">
        <f t="shared" si="2"/>
        <v>0</v>
      </c>
      <c r="H27" s="353">
        <f>0.26*N23</f>
        <v>1.56</v>
      </c>
      <c r="I27" s="139">
        <f t="shared" si="0"/>
        <v>0</v>
      </c>
      <c r="J27" s="212"/>
      <c r="K27" s="132" t="e">
        <f t="shared" si="1"/>
        <v>#DIV/0!</v>
      </c>
      <c r="M27" s="191"/>
    </row>
    <row r="28" spans="1:14" s="6" customFormat="1" ht="30" customHeight="1" x14ac:dyDescent="0.25">
      <c r="A28" s="222" t="s">
        <v>120</v>
      </c>
      <c r="B28" s="125" t="s">
        <v>100</v>
      </c>
      <c r="C28" s="128" t="s">
        <v>92</v>
      </c>
      <c r="D28" s="201" t="e">
        <f>LOOKUP(C28,#REF!,#REF!)</f>
        <v>#REF!</v>
      </c>
      <c r="E28" s="200" t="e">
        <f>LOOKUP(C28,#REF!,#REF!)</f>
        <v>#REF!</v>
      </c>
      <c r="F28" s="202"/>
      <c r="G28" s="138">
        <f t="shared" si="2"/>
        <v>0</v>
      </c>
      <c r="H28" s="353">
        <f>0.97*N23</f>
        <v>5.82</v>
      </c>
      <c r="I28" s="139">
        <f t="shared" si="0"/>
        <v>0</v>
      </c>
      <c r="J28" s="212"/>
      <c r="K28" s="132" t="e">
        <f t="shared" si="1"/>
        <v>#DIV/0!</v>
      </c>
      <c r="M28" s="191"/>
    </row>
    <row r="29" spans="1:14" s="6" customFormat="1" ht="30" customHeight="1" thickBot="1" x14ac:dyDescent="0.3">
      <c r="A29" s="222" t="s">
        <v>121</v>
      </c>
      <c r="B29" s="125" t="s">
        <v>100</v>
      </c>
      <c r="C29" s="128" t="s">
        <v>93</v>
      </c>
      <c r="D29" s="201" t="e">
        <f>LOOKUP(C29,#REF!,#REF!)</f>
        <v>#REF!</v>
      </c>
      <c r="E29" s="200" t="e">
        <f>LOOKUP(C29,#REF!,#REF!)</f>
        <v>#REF!</v>
      </c>
      <c r="F29" s="202"/>
      <c r="G29" s="138">
        <f t="shared" si="2"/>
        <v>0</v>
      </c>
      <c r="H29" s="353">
        <f>H28</f>
        <v>5.82</v>
      </c>
      <c r="I29" s="139">
        <f t="shared" si="0"/>
        <v>0</v>
      </c>
      <c r="J29" s="212"/>
      <c r="K29" s="132" t="e">
        <f t="shared" si="1"/>
        <v>#DIV/0!</v>
      </c>
      <c r="M29" s="191"/>
    </row>
    <row r="30" spans="1:14" s="6" customFormat="1" ht="15.75" customHeight="1" thickBot="1" x14ac:dyDescent="0.3">
      <c r="A30" s="519"/>
      <c r="B30" s="520"/>
      <c r="C30" s="520"/>
      <c r="D30" s="520"/>
      <c r="E30" s="521"/>
      <c r="F30" s="206"/>
      <c r="G30" s="206"/>
      <c r="H30" s="207" t="s">
        <v>63</v>
      </c>
      <c r="I30" s="215"/>
      <c r="J30" s="216">
        <f>SUM(I19:I29)</f>
        <v>0</v>
      </c>
      <c r="K30" s="210" t="e">
        <f>J30/J31</f>
        <v>#DIV/0!</v>
      </c>
      <c r="M30" s="186"/>
    </row>
    <row r="31" spans="1:14" s="254" customFormat="1" ht="16.5" thickBot="1" x14ac:dyDescent="0.3">
      <c r="A31" s="504" t="s">
        <v>127</v>
      </c>
      <c r="B31" s="524"/>
      <c r="C31" s="524"/>
      <c r="D31" s="524"/>
      <c r="E31" s="524"/>
      <c r="F31" s="524"/>
      <c r="G31" s="524"/>
      <c r="H31" s="524"/>
      <c r="I31" s="525"/>
      <c r="J31" s="252">
        <f>SUM(J5:J30)</f>
        <v>0</v>
      </c>
      <c r="K31" s="253" t="e">
        <f>K9+K12+K17+K30</f>
        <v>#DIV/0!</v>
      </c>
      <c r="M31" s="255"/>
    </row>
    <row r="32" spans="1:14" x14ac:dyDescent="0.25">
      <c r="A32" s="231"/>
      <c r="B32" s="231"/>
      <c r="C32" s="231"/>
      <c r="D32" s="232"/>
      <c r="E32" s="231"/>
      <c r="F32" s="231"/>
      <c r="G32" s="231"/>
      <c r="H32" s="231"/>
      <c r="I32" s="233"/>
      <c r="J32" s="234"/>
      <c r="K32" s="235"/>
    </row>
    <row r="33" spans="1:11" x14ac:dyDescent="0.25">
      <c r="A33" s="528" t="s">
        <v>64</v>
      </c>
      <c r="B33" s="529"/>
      <c r="C33" s="529"/>
      <c r="D33" s="336"/>
      <c r="E33" s="164"/>
      <c r="F33" s="164"/>
      <c r="G33" s="164"/>
      <c r="H33" s="499" t="s">
        <v>167</v>
      </c>
      <c r="I33" s="499"/>
      <c r="J33" s="499"/>
      <c r="K33" s="499"/>
    </row>
    <row r="34" spans="1:11" x14ac:dyDescent="0.25">
      <c r="A34" s="336"/>
      <c r="B34" s="497" t="s">
        <v>102</v>
      </c>
      <c r="C34" s="497"/>
      <c r="D34" s="164"/>
      <c r="E34" s="164"/>
      <c r="F34" s="164"/>
      <c r="G34" s="164"/>
      <c r="H34" s="164"/>
      <c r="I34" s="164"/>
      <c r="J34" s="164"/>
      <c r="K34" s="164"/>
    </row>
    <row r="35" spans="1:11" x14ac:dyDescent="0.25">
      <c r="A35" s="336"/>
      <c r="B35" s="498" t="s">
        <v>103</v>
      </c>
      <c r="C35" s="498"/>
      <c r="D35" s="164"/>
      <c r="E35" s="164"/>
      <c r="F35" s="164"/>
      <c r="G35" s="164"/>
      <c r="H35" s="164"/>
      <c r="I35" s="164"/>
      <c r="J35" s="164"/>
      <c r="K35" s="164"/>
    </row>
    <row r="36" spans="1:11" x14ac:dyDescent="0.25">
      <c r="A36" s="337"/>
      <c r="B36" s="498" t="s">
        <v>104</v>
      </c>
      <c r="C36" s="498"/>
      <c r="D36" s="164"/>
      <c r="E36" s="164"/>
      <c r="F36" s="164"/>
      <c r="G36" s="164"/>
      <c r="H36" s="164"/>
      <c r="I36" s="164"/>
      <c r="J36" s="164"/>
      <c r="K36" s="164"/>
    </row>
    <row r="37" spans="1:11" x14ac:dyDescent="0.25">
      <c r="A37" s="190"/>
      <c r="B37" s="183"/>
      <c r="C37" s="183"/>
      <c r="D37" s="236"/>
      <c r="E37" s="183"/>
      <c r="F37" s="183"/>
      <c r="G37" s="183"/>
      <c r="H37" s="183"/>
      <c r="I37" s="237"/>
      <c r="J37" s="238"/>
      <c r="K37" s="239"/>
    </row>
    <row r="38" spans="1:11" x14ac:dyDescent="0.25">
      <c r="A38" s="182"/>
      <c r="B38" s="240"/>
      <c r="C38" s="182"/>
      <c r="D38" s="242"/>
      <c r="E38" s="182"/>
      <c r="F38" s="240"/>
      <c r="G38" s="240"/>
      <c r="H38" s="240"/>
      <c r="I38" s="243"/>
      <c r="J38" s="244"/>
      <c r="K38" s="245"/>
    </row>
    <row r="39" spans="1:11" x14ac:dyDescent="0.25">
      <c r="A39" s="182"/>
      <c r="B39" s="240"/>
      <c r="C39" s="182"/>
      <c r="D39" s="362"/>
      <c r="E39" s="360"/>
      <c r="F39" s="401"/>
      <c r="G39" s="401"/>
      <c r="H39" s="401"/>
      <c r="I39" s="243"/>
      <c r="J39" s="244"/>
      <c r="K39" s="245"/>
    </row>
    <row r="40" spans="1:11" x14ac:dyDescent="0.25">
      <c r="D40" s="403"/>
      <c r="E40" s="403"/>
      <c r="F40" s="402"/>
      <c r="G40" s="533"/>
      <c r="H40" s="403"/>
      <c r="I40" s="403"/>
      <c r="J40" s="403"/>
      <c r="K40" s="403"/>
    </row>
    <row r="41" spans="1:11" x14ac:dyDescent="0.25">
      <c r="D41" s="403"/>
      <c r="E41" s="403"/>
      <c r="F41" s="401"/>
      <c r="G41" s="536"/>
      <c r="H41" s="403"/>
      <c r="I41" s="403"/>
      <c r="J41" s="403"/>
      <c r="K41" s="403"/>
    </row>
    <row r="42" spans="1:11" x14ac:dyDescent="0.25">
      <c r="D42" s="403"/>
      <c r="E42" s="403"/>
      <c r="F42" s="401"/>
      <c r="G42" s="401"/>
      <c r="H42" s="414"/>
      <c r="I42" s="414"/>
      <c r="J42" s="414"/>
      <c r="K42" s="414"/>
    </row>
    <row r="43" spans="1:11" x14ac:dyDescent="0.25">
      <c r="D43" s="362"/>
      <c r="E43" s="360"/>
      <c r="F43" s="401"/>
      <c r="G43" s="401"/>
      <c r="H43" s="6"/>
      <c r="I43" s="243"/>
      <c r="J43" s="244"/>
      <c r="K43" s="241"/>
    </row>
    <row r="44" spans="1:11" x14ac:dyDescent="0.25">
      <c r="D44" s="362"/>
      <c r="E44" s="360"/>
      <c r="F44" s="401"/>
      <c r="G44" s="401"/>
      <c r="H44" s="6"/>
      <c r="I44" s="243"/>
      <c r="J44" s="244"/>
      <c r="K44" s="241"/>
    </row>
    <row r="45" spans="1:11" x14ac:dyDescent="0.25">
      <c r="D45" s="362"/>
      <c r="E45" s="360"/>
      <c r="F45" s="401"/>
      <c r="G45" s="401"/>
      <c r="H45" s="6"/>
      <c r="I45" s="243"/>
      <c r="J45" s="244"/>
      <c r="K45" s="241"/>
    </row>
    <row r="46" spans="1:11" x14ac:dyDescent="0.25">
      <c r="D46" s="362"/>
      <c r="E46" s="360"/>
      <c r="F46" s="401"/>
      <c r="G46" s="401"/>
      <c r="H46" s="403"/>
      <c r="I46" s="403"/>
      <c r="J46" s="403"/>
      <c r="K46" s="403"/>
    </row>
    <row r="47" spans="1:11" x14ac:dyDescent="0.25">
      <c r="D47" s="362"/>
      <c r="E47" s="360"/>
      <c r="F47" s="401"/>
      <c r="G47" s="401"/>
      <c r="H47" s="403"/>
      <c r="I47" s="403"/>
      <c r="J47" s="403"/>
      <c r="K47" s="403"/>
    </row>
    <row r="48" spans="1:11" x14ac:dyDescent="0.25">
      <c r="D48" s="362"/>
      <c r="E48" s="360"/>
      <c r="F48" s="401"/>
      <c r="G48" s="401"/>
      <c r="H48" s="403"/>
      <c r="I48" s="403"/>
      <c r="J48" s="403"/>
      <c r="K48" s="403"/>
    </row>
  </sheetData>
  <mergeCells count="28">
    <mergeCell ref="H46:K46"/>
    <mergeCell ref="H47:K47"/>
    <mergeCell ref="H48:K48"/>
    <mergeCell ref="D40:E40"/>
    <mergeCell ref="H40:K40"/>
    <mergeCell ref="D41:E41"/>
    <mergeCell ref="H41:K41"/>
    <mergeCell ref="D42:E42"/>
    <mergeCell ref="H42:K42"/>
    <mergeCell ref="H33:K33"/>
    <mergeCell ref="A1:K1"/>
    <mergeCell ref="A9:E9"/>
    <mergeCell ref="A2:A4"/>
    <mergeCell ref="B2:B4"/>
    <mergeCell ref="C2:C4"/>
    <mergeCell ref="D2:D4"/>
    <mergeCell ref="E2:E4"/>
    <mergeCell ref="F2:F4"/>
    <mergeCell ref="H2:H4"/>
    <mergeCell ref="I2:I4"/>
    <mergeCell ref="J2:J4"/>
    <mergeCell ref="K2:K4"/>
    <mergeCell ref="A30:E30"/>
    <mergeCell ref="B36:C36"/>
    <mergeCell ref="A31:I31"/>
    <mergeCell ref="A33:C33"/>
    <mergeCell ref="B34:C34"/>
    <mergeCell ref="B35:C35"/>
  </mergeCells>
  <printOptions horizontalCentered="1"/>
  <pageMargins left="0.31496062992125984" right="0.35433070866141736" top="1.1811023622047245" bottom="1.1811023622047245" header="0.31496062992125984" footer="0.31496062992125984"/>
  <pageSetup paperSize="9" scale="65"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2"/>
  <sheetViews>
    <sheetView view="pageBreakPreview" zoomScaleNormal="84" zoomScaleSheetLayoutView="100" workbookViewId="0">
      <selection sqref="A1:K1"/>
    </sheetView>
  </sheetViews>
  <sheetFormatPr defaultRowHeight="15" x14ac:dyDescent="0.2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4.7109375" style="250" bestFit="1" customWidth="1"/>
    <col min="11" max="11" width="9.140625" style="251"/>
    <col min="12" max="12" width="9.140625" style="190"/>
    <col min="13" max="13" width="9.140625" style="191"/>
    <col min="14" max="16384" width="9.140625" style="190"/>
  </cols>
  <sheetData>
    <row r="1" spans="1:13" ht="36" customHeight="1" thickBot="1" x14ac:dyDescent="0.3">
      <c r="A1" s="516" t="s">
        <v>158</v>
      </c>
      <c r="B1" s="517"/>
      <c r="C1" s="517"/>
      <c r="D1" s="517"/>
      <c r="E1" s="517"/>
      <c r="F1" s="517"/>
      <c r="G1" s="517"/>
      <c r="H1" s="517"/>
      <c r="I1" s="517"/>
      <c r="J1" s="517"/>
      <c r="K1" s="518"/>
    </row>
    <row r="2" spans="1:13" ht="43.5" customHeight="1" x14ac:dyDescent="0.25">
      <c r="A2" s="494" t="s">
        <v>20</v>
      </c>
      <c r="B2" s="476" t="s">
        <v>21</v>
      </c>
      <c r="C2" s="476" t="s">
        <v>6</v>
      </c>
      <c r="D2" s="530" t="s">
        <v>27</v>
      </c>
      <c r="E2" s="479" t="s">
        <v>22</v>
      </c>
      <c r="F2" s="479" t="s">
        <v>65</v>
      </c>
      <c r="G2" s="192" t="s">
        <v>74</v>
      </c>
      <c r="H2" s="479" t="s">
        <v>23</v>
      </c>
      <c r="I2" s="485" t="s">
        <v>24</v>
      </c>
      <c r="J2" s="488" t="s">
        <v>40</v>
      </c>
      <c r="K2" s="491" t="s">
        <v>25</v>
      </c>
    </row>
    <row r="3" spans="1:13" ht="35.25" customHeight="1" x14ac:dyDescent="0.25">
      <c r="A3" s="495"/>
      <c r="B3" s="477"/>
      <c r="C3" s="477"/>
      <c r="D3" s="531"/>
      <c r="E3" s="480"/>
      <c r="F3" s="480"/>
      <c r="G3" s="116">
        <v>20.09</v>
      </c>
      <c r="H3" s="480"/>
      <c r="I3" s="486"/>
      <c r="J3" s="489"/>
      <c r="K3" s="492"/>
    </row>
    <row r="4" spans="1:13" ht="9" hidden="1" customHeight="1" x14ac:dyDescent="0.25">
      <c r="A4" s="496"/>
      <c r="B4" s="478"/>
      <c r="C4" s="478"/>
      <c r="D4" s="532"/>
      <c r="E4" s="481"/>
      <c r="F4" s="481"/>
      <c r="G4" s="195">
        <f>(G3/100)+1</f>
        <v>1.2009000000000001</v>
      </c>
      <c r="H4" s="481"/>
      <c r="I4" s="487"/>
      <c r="J4" s="490"/>
      <c r="K4" s="493"/>
    </row>
    <row r="5" spans="1:13" x14ac:dyDescent="0.25">
      <c r="A5" s="13" t="s">
        <v>84</v>
      </c>
      <c r="B5" s="196"/>
      <c r="C5" s="196"/>
      <c r="D5" s="369" t="s">
        <v>13</v>
      </c>
      <c r="E5" s="370"/>
      <c r="F5" s="370"/>
      <c r="G5" s="370"/>
      <c r="H5" s="198"/>
      <c r="I5" s="199"/>
      <c r="J5" s="69"/>
      <c r="K5" s="19"/>
    </row>
    <row r="6" spans="1:13" ht="25.5" x14ac:dyDescent="0.25">
      <c r="A6" s="143" t="s">
        <v>85</v>
      </c>
      <c r="B6" s="146"/>
      <c r="C6" s="211"/>
      <c r="D6" s="217" t="s">
        <v>68</v>
      </c>
      <c r="E6" s="211"/>
      <c r="F6" s="202"/>
      <c r="G6" s="202"/>
      <c r="H6" s="202"/>
      <c r="I6" s="212"/>
      <c r="J6" s="212"/>
      <c r="K6" s="147"/>
    </row>
    <row r="7" spans="1:13" ht="27.75" customHeight="1" x14ac:dyDescent="0.25">
      <c r="A7" s="145" t="s">
        <v>31</v>
      </c>
      <c r="B7" s="125" t="s">
        <v>100</v>
      </c>
      <c r="C7" s="200" t="s">
        <v>7</v>
      </c>
      <c r="D7" s="201" t="e">
        <f>LOOKUP(C7,#REF!,#REF!)</f>
        <v>#REF!</v>
      </c>
      <c r="E7" s="200" t="e">
        <f>LOOKUP(C7,#REF!,#REF!)</f>
        <v>#REF!</v>
      </c>
      <c r="F7" s="202"/>
      <c r="G7" s="138">
        <f>F7*G4</f>
        <v>0</v>
      </c>
      <c r="H7" s="202">
        <f>H8*0.3</f>
        <v>1.5</v>
      </c>
      <c r="I7" s="139">
        <f>G7*H7</f>
        <v>0</v>
      </c>
      <c r="J7" s="212"/>
      <c r="K7" s="132" t="e">
        <f>I7/J32</f>
        <v>#DIV/0!</v>
      </c>
      <c r="M7" s="191">
        <f>F7*0.765</f>
        <v>0</v>
      </c>
    </row>
    <row r="8" spans="1:13" ht="26.25" thickBot="1" x14ac:dyDescent="0.3">
      <c r="A8" s="145" t="s">
        <v>32</v>
      </c>
      <c r="B8" s="125" t="s">
        <v>100</v>
      </c>
      <c r="C8" s="128" t="s">
        <v>98</v>
      </c>
      <c r="D8" s="201" t="e">
        <f>LOOKUP(C8,#REF!,#REF!)</f>
        <v>#REF!</v>
      </c>
      <c r="E8" s="200" t="e">
        <f>LOOKUP(C8,#REF!,#REF!)</f>
        <v>#REF!</v>
      </c>
      <c r="F8" s="148"/>
      <c r="G8" s="138">
        <f>F8*G4</f>
        <v>0</v>
      </c>
      <c r="H8" s="202">
        <v>5</v>
      </c>
      <c r="I8" s="139">
        <f>G8*H8</f>
        <v>0</v>
      </c>
      <c r="J8" s="212"/>
      <c r="K8" s="132" t="e">
        <f>I8/J32</f>
        <v>#DIV/0!</v>
      </c>
      <c r="M8" s="191">
        <f>F8*0.765</f>
        <v>0</v>
      </c>
    </row>
    <row r="9" spans="1:13" ht="15.75" thickBot="1" x14ac:dyDescent="0.3">
      <c r="A9" s="519"/>
      <c r="B9" s="520"/>
      <c r="C9" s="520"/>
      <c r="D9" s="520"/>
      <c r="E9" s="521"/>
      <c r="F9" s="206"/>
      <c r="G9" s="206"/>
      <c r="H9" s="207" t="s">
        <v>73</v>
      </c>
      <c r="I9" s="215"/>
      <c r="J9" s="216">
        <f>SUM(I7:I8)</f>
        <v>0</v>
      </c>
      <c r="K9" s="210" t="e">
        <f>J9/J32</f>
        <v>#DIV/0!</v>
      </c>
    </row>
    <row r="10" spans="1:13" x14ac:dyDescent="0.25">
      <c r="A10" s="219" t="s">
        <v>86</v>
      </c>
      <c r="B10" s="211"/>
      <c r="C10" s="211"/>
      <c r="D10" s="220" t="s">
        <v>78</v>
      </c>
      <c r="E10" s="221"/>
      <c r="F10" s="202"/>
      <c r="G10" s="202"/>
      <c r="H10" s="202"/>
      <c r="I10" s="212"/>
      <c r="J10" s="212"/>
      <c r="K10" s="147"/>
    </row>
    <row r="11" spans="1:13" ht="26.25" thickBot="1" x14ac:dyDescent="0.3">
      <c r="A11" s="222" t="s">
        <v>33</v>
      </c>
      <c r="B11" s="125" t="s">
        <v>100</v>
      </c>
      <c r="C11" s="200" t="s">
        <v>1</v>
      </c>
      <c r="D11" s="201" t="e">
        <f>LOOKUP(C11,#REF!,#REF!)</f>
        <v>#REF!</v>
      </c>
      <c r="E11" s="200" t="e">
        <f>LOOKUP(C11,#REF!,#REF!)</f>
        <v>#REF!</v>
      </c>
      <c r="F11" s="202"/>
      <c r="G11" s="138">
        <f>F11*G4</f>
        <v>0</v>
      </c>
      <c r="H11" s="202">
        <v>3987.62</v>
      </c>
      <c r="I11" s="139">
        <f>G11*H11</f>
        <v>0</v>
      </c>
      <c r="J11" s="212"/>
      <c r="K11" s="132" t="e">
        <f>I11/J32</f>
        <v>#DIV/0!</v>
      </c>
      <c r="M11" s="191">
        <f>F11*0.765</f>
        <v>0</v>
      </c>
    </row>
    <row r="12" spans="1:13" ht="15.75" thickBot="1" x14ac:dyDescent="0.3">
      <c r="A12" s="223"/>
      <c r="B12" s="224"/>
      <c r="C12" s="224"/>
      <c r="D12" s="225"/>
      <c r="E12" s="226"/>
      <c r="F12" s="206"/>
      <c r="G12" s="206"/>
      <c r="H12" s="207" t="s">
        <v>61</v>
      </c>
      <c r="I12" s="215"/>
      <c r="J12" s="216">
        <f>SUM(I11:I11)</f>
        <v>0</v>
      </c>
      <c r="K12" s="210" t="e">
        <f>J12/J32</f>
        <v>#DIV/0!</v>
      </c>
    </row>
    <row r="13" spans="1:13" x14ac:dyDescent="0.25">
      <c r="A13" s="219" t="s">
        <v>87</v>
      </c>
      <c r="B13" s="211"/>
      <c r="C13" s="211"/>
      <c r="D13" s="220" t="s">
        <v>15</v>
      </c>
      <c r="E13" s="211"/>
      <c r="F13" s="202"/>
      <c r="G13" s="202"/>
      <c r="H13" s="202"/>
      <c r="I13" s="212"/>
      <c r="J13" s="212"/>
      <c r="K13" s="147"/>
    </row>
    <row r="14" spans="1:13" ht="38.25" x14ac:dyDescent="0.25">
      <c r="A14" s="222" t="s">
        <v>37</v>
      </c>
      <c r="B14" s="125" t="s">
        <v>100</v>
      </c>
      <c r="C14" s="200" t="s">
        <v>3</v>
      </c>
      <c r="D14" s="201" t="e">
        <f>LOOKUP(C14,#REF!,#REF!)</f>
        <v>#REF!</v>
      </c>
      <c r="E14" s="200" t="e">
        <f>LOOKUP(C14,#REF!,#REF!)</f>
        <v>#REF!</v>
      </c>
      <c r="F14" s="202"/>
      <c r="G14" s="138">
        <f>F14*G4</f>
        <v>0</v>
      </c>
      <c r="H14" s="202">
        <v>3987.62</v>
      </c>
      <c r="I14" s="139">
        <f>G14*H14</f>
        <v>0</v>
      </c>
      <c r="J14" s="212"/>
      <c r="K14" s="132" t="e">
        <f>I14/J32</f>
        <v>#DIV/0!</v>
      </c>
      <c r="M14" s="191">
        <f>F14*0.765</f>
        <v>0</v>
      </c>
    </row>
    <row r="15" spans="1:13" ht="76.5" x14ac:dyDescent="0.25">
      <c r="A15" s="222" t="s">
        <v>38</v>
      </c>
      <c r="B15" s="135" t="s">
        <v>101</v>
      </c>
      <c r="C15" s="205">
        <v>94274</v>
      </c>
      <c r="D15" s="227" t="s">
        <v>5</v>
      </c>
      <c r="E15" s="200" t="s">
        <v>0</v>
      </c>
      <c r="F15" s="202"/>
      <c r="G15" s="138">
        <f>F15*G4</f>
        <v>0</v>
      </c>
      <c r="H15" s="202">
        <v>5</v>
      </c>
      <c r="I15" s="139">
        <f>G15*H15</f>
        <v>0</v>
      </c>
      <c r="J15" s="212"/>
      <c r="K15" s="132" t="e">
        <f>I15/J32</f>
        <v>#DIV/0!</v>
      </c>
      <c r="M15" s="191">
        <f>F15*0.765</f>
        <v>0</v>
      </c>
    </row>
    <row r="16" spans="1:13" ht="76.5" x14ac:dyDescent="0.25">
      <c r="A16" s="222" t="s">
        <v>39</v>
      </c>
      <c r="B16" s="135" t="s">
        <v>101</v>
      </c>
      <c r="C16" s="205">
        <v>94275</v>
      </c>
      <c r="D16" s="227" t="s">
        <v>80</v>
      </c>
      <c r="E16" s="200" t="s">
        <v>0</v>
      </c>
      <c r="F16" s="202"/>
      <c r="G16" s="138">
        <f>F16*G4</f>
        <v>0</v>
      </c>
      <c r="H16" s="202">
        <v>83</v>
      </c>
      <c r="I16" s="139">
        <f>G16*H16</f>
        <v>0</v>
      </c>
      <c r="J16" s="212"/>
      <c r="K16" s="132" t="e">
        <f>I16/J32</f>
        <v>#DIV/0!</v>
      </c>
      <c r="M16" s="191">
        <f>F16*0.765</f>
        <v>0</v>
      </c>
    </row>
    <row r="17" spans="1:14" ht="26.25" thickBot="1" x14ac:dyDescent="0.3">
      <c r="A17" s="222" t="s">
        <v>110</v>
      </c>
      <c r="B17" s="125" t="s">
        <v>100</v>
      </c>
      <c r="C17" s="200" t="s">
        <v>2</v>
      </c>
      <c r="D17" s="201" t="e">
        <f>LOOKUP(C17,#REF!,#REF!)</f>
        <v>#REF!</v>
      </c>
      <c r="E17" s="200" t="e">
        <f>LOOKUP(C17,#REF!,#REF!)</f>
        <v>#REF!</v>
      </c>
      <c r="F17" s="202"/>
      <c r="G17" s="138">
        <f>F17*G4</f>
        <v>0</v>
      </c>
      <c r="H17" s="202">
        <f>(H15+H16)*0.3*0.11</f>
        <v>2.9039999999999999</v>
      </c>
      <c r="I17" s="139">
        <f>G17*H17</f>
        <v>0</v>
      </c>
      <c r="J17" s="212"/>
      <c r="K17" s="132" t="e">
        <f>I17/J32</f>
        <v>#DIV/0!</v>
      </c>
      <c r="M17" s="191">
        <f>F17*0.765</f>
        <v>0</v>
      </c>
    </row>
    <row r="18" spans="1:14" ht="15.75" thickBot="1" x14ac:dyDescent="0.3">
      <c r="A18" s="223"/>
      <c r="B18" s="224"/>
      <c r="C18" s="224"/>
      <c r="D18" s="225"/>
      <c r="E18" s="226"/>
      <c r="F18" s="206"/>
      <c r="G18" s="206"/>
      <c r="H18" s="207" t="s">
        <v>62</v>
      </c>
      <c r="I18" s="215"/>
      <c r="J18" s="216">
        <f>SUM(I14:I17)</f>
        <v>0</v>
      </c>
      <c r="K18" s="210" t="e">
        <f>J18/J32</f>
        <v>#DIV/0!</v>
      </c>
    </row>
    <row r="19" spans="1:14" x14ac:dyDescent="0.25">
      <c r="A19" s="219" t="s">
        <v>88</v>
      </c>
      <c r="B19" s="211"/>
      <c r="C19" s="211"/>
      <c r="D19" s="228" t="s">
        <v>16</v>
      </c>
      <c r="E19" s="211"/>
      <c r="F19" s="202"/>
      <c r="G19" s="202"/>
      <c r="H19" s="202"/>
      <c r="I19" s="212"/>
      <c r="J19" s="212"/>
      <c r="K19" s="147"/>
    </row>
    <row r="20" spans="1:14" ht="25.5" x14ac:dyDescent="0.25">
      <c r="A20" s="222" t="s">
        <v>41</v>
      </c>
      <c r="B20" s="135" t="s">
        <v>101</v>
      </c>
      <c r="C20" s="200">
        <v>72947</v>
      </c>
      <c r="D20" s="201" t="s">
        <v>69</v>
      </c>
      <c r="E20" s="200" t="s">
        <v>9</v>
      </c>
      <c r="F20" s="202"/>
      <c r="G20" s="138">
        <f>F20*G4</f>
        <v>0</v>
      </c>
      <c r="H20" s="229">
        <v>82.8</v>
      </c>
      <c r="I20" s="139">
        <f>G20*H20</f>
        <v>0</v>
      </c>
      <c r="J20" s="212"/>
      <c r="K20" s="132" t="e">
        <f>I20/J32</f>
        <v>#DIV/0!</v>
      </c>
      <c r="M20" s="191">
        <f>F20*0.765</f>
        <v>0</v>
      </c>
    </row>
    <row r="21" spans="1:14" ht="25.5" x14ac:dyDescent="0.25">
      <c r="A21" s="222" t="s">
        <v>42</v>
      </c>
      <c r="B21" s="125" t="s">
        <v>100</v>
      </c>
      <c r="C21" s="200" t="s">
        <v>11</v>
      </c>
      <c r="D21" s="201" t="e">
        <f>LOOKUP(C21,#REF!,#REF!)</f>
        <v>#REF!</v>
      </c>
      <c r="E21" s="200" t="e">
        <f>LOOKUP(C21,#REF!,#REF!)</f>
        <v>#REF!</v>
      </c>
      <c r="F21" s="202"/>
      <c r="G21" s="138">
        <f>F21*G4</f>
        <v>0</v>
      </c>
      <c r="H21" s="229">
        <v>0.64</v>
      </c>
      <c r="I21" s="139">
        <f t="shared" ref="I21:I30" si="0">G21*H21</f>
        <v>0</v>
      </c>
      <c r="J21" s="212"/>
      <c r="K21" s="132" t="e">
        <f>I21/J32</f>
        <v>#DIV/0!</v>
      </c>
      <c r="M21" s="191">
        <f>F21*0.765</f>
        <v>0</v>
      </c>
    </row>
    <row r="22" spans="1:14" x14ac:dyDescent="0.25">
      <c r="A22" s="222" t="s">
        <v>43</v>
      </c>
      <c r="B22" s="136" t="s">
        <v>100</v>
      </c>
      <c r="C22" s="213" t="s">
        <v>19</v>
      </c>
      <c r="D22" s="201" t="e">
        <f>LOOKUP(C22,#REF!,#REF!)</f>
        <v>#REF!</v>
      </c>
      <c r="E22" s="200" t="e">
        <f>LOOKUP(C22,#REF!,#REF!)</f>
        <v>#REF!</v>
      </c>
      <c r="F22" s="202"/>
      <c r="G22" s="138">
        <f>F22*G4</f>
        <v>0</v>
      </c>
      <c r="H22" s="229">
        <f>3*5</f>
        <v>15</v>
      </c>
      <c r="I22" s="139">
        <f t="shared" si="0"/>
        <v>0</v>
      </c>
      <c r="J22" s="212"/>
      <c r="K22" s="132" t="e">
        <f>I22/J32</f>
        <v>#DIV/0!</v>
      </c>
      <c r="M22" s="191">
        <f>F22*0.765</f>
        <v>0</v>
      </c>
    </row>
    <row r="23" spans="1:14" ht="25.5" x14ac:dyDescent="0.25">
      <c r="A23" s="222" t="s">
        <v>44</v>
      </c>
      <c r="B23" s="136" t="s">
        <v>100</v>
      </c>
      <c r="C23" s="213" t="s">
        <v>95</v>
      </c>
      <c r="D23" s="201" t="e">
        <f>LOOKUP(C23,#REF!,#REF!)</f>
        <v>#REF!</v>
      </c>
      <c r="E23" s="200" t="e">
        <f>LOOKUP(C23,#REF!,#REF!)</f>
        <v>#REF!</v>
      </c>
      <c r="F23" s="202"/>
      <c r="G23" s="138">
        <f>F23*G4</f>
        <v>0</v>
      </c>
      <c r="H23" s="229">
        <f>5*0.5</f>
        <v>2.5</v>
      </c>
      <c r="I23" s="139">
        <f>G23*H23</f>
        <v>0</v>
      </c>
      <c r="J23" s="212"/>
      <c r="K23" s="132" t="e">
        <f>I23/J32</f>
        <v>#DIV/0!</v>
      </c>
    </row>
    <row r="24" spans="1:14" s="6" customFormat="1" ht="25.5" x14ac:dyDescent="0.25">
      <c r="A24" s="222" t="s">
        <v>45</v>
      </c>
      <c r="B24" s="135" t="s">
        <v>101</v>
      </c>
      <c r="C24" s="213" t="s">
        <v>105</v>
      </c>
      <c r="D24" s="214" t="s">
        <v>57</v>
      </c>
      <c r="E24" s="218" t="s">
        <v>12</v>
      </c>
      <c r="F24" s="202"/>
      <c r="G24" s="138">
        <f>F24*G4</f>
        <v>0</v>
      </c>
      <c r="H24" s="229">
        <v>6</v>
      </c>
      <c r="I24" s="139">
        <f t="shared" si="0"/>
        <v>0</v>
      </c>
      <c r="J24" s="212"/>
      <c r="K24" s="132" t="e">
        <f>I24/J32</f>
        <v>#DIV/0!</v>
      </c>
      <c r="M24" s="191">
        <f>F24*0.765</f>
        <v>0</v>
      </c>
      <c r="N24" s="6">
        <v>10</v>
      </c>
    </row>
    <row r="25" spans="1:14" s="6" customFormat="1" ht="30" customHeight="1" x14ac:dyDescent="0.25">
      <c r="A25" s="222" t="s">
        <v>46</v>
      </c>
      <c r="B25" s="125" t="s">
        <v>100</v>
      </c>
      <c r="C25" s="200" t="s">
        <v>10</v>
      </c>
      <c r="D25" s="201" t="s">
        <v>58</v>
      </c>
      <c r="E25" s="200" t="e">
        <f>LOOKUP(C25,#REF!,#REF!)</f>
        <v>#REF!</v>
      </c>
      <c r="F25" s="202"/>
      <c r="G25" s="138">
        <f>F25*G4</f>
        <v>0</v>
      </c>
      <c r="H25" s="202">
        <v>180.49</v>
      </c>
      <c r="I25" s="139">
        <f t="shared" si="0"/>
        <v>0</v>
      </c>
      <c r="J25" s="212"/>
      <c r="K25" s="132" t="e">
        <f>I25/J32</f>
        <v>#DIV/0!</v>
      </c>
      <c r="M25" s="191">
        <f>F25*0.765</f>
        <v>0</v>
      </c>
    </row>
    <row r="26" spans="1:14" s="6" customFormat="1" ht="30" customHeight="1" x14ac:dyDescent="0.25">
      <c r="A26" s="222" t="s">
        <v>117</v>
      </c>
      <c r="B26" s="125" t="s">
        <v>100</v>
      </c>
      <c r="C26" s="128" t="s">
        <v>96</v>
      </c>
      <c r="D26" s="201" t="e">
        <f>LOOKUP(C26,#REF!,#REF!)</f>
        <v>#REF!</v>
      </c>
      <c r="E26" s="200" t="e">
        <f>LOOKUP(C26,#REF!,#REF!)</f>
        <v>#REF!</v>
      </c>
      <c r="F26" s="202"/>
      <c r="G26" s="138">
        <f>F26*$G$4</f>
        <v>0</v>
      </c>
      <c r="H26" s="353">
        <f>1.13*N24</f>
        <v>11.299999999999999</v>
      </c>
      <c r="I26" s="139">
        <f t="shared" si="0"/>
        <v>0</v>
      </c>
      <c r="J26" s="212"/>
      <c r="K26" s="132" t="e">
        <f>I26/$J$31</f>
        <v>#DIV/0!</v>
      </c>
      <c r="M26" s="191"/>
    </row>
    <row r="27" spans="1:14" s="6" customFormat="1" ht="38.25" x14ac:dyDescent="0.25">
      <c r="A27" s="222" t="s">
        <v>118</v>
      </c>
      <c r="B27" s="125" t="s">
        <v>100</v>
      </c>
      <c r="C27" s="128" t="s">
        <v>97</v>
      </c>
      <c r="D27" s="201" t="e">
        <f>LOOKUP(C27,#REF!,#REF!)</f>
        <v>#REF!</v>
      </c>
      <c r="E27" s="200" t="e">
        <f>LOOKUP(C27,#REF!,#REF!)</f>
        <v>#REF!</v>
      </c>
      <c r="F27" s="202"/>
      <c r="G27" s="138">
        <f>F27*$G$4</f>
        <v>0</v>
      </c>
      <c r="H27" s="353">
        <f>1.13*N24</f>
        <v>11.299999999999999</v>
      </c>
      <c r="I27" s="139">
        <f t="shared" si="0"/>
        <v>0</v>
      </c>
      <c r="J27" s="212"/>
      <c r="K27" s="132" t="e">
        <f>I27/$J$31</f>
        <v>#DIV/0!</v>
      </c>
      <c r="M27" s="191"/>
    </row>
    <row r="28" spans="1:14" s="6" customFormat="1" ht="30" customHeight="1" x14ac:dyDescent="0.25">
      <c r="A28" s="222" t="s">
        <v>119</v>
      </c>
      <c r="B28" s="125" t="s">
        <v>100</v>
      </c>
      <c r="C28" s="128" t="s">
        <v>94</v>
      </c>
      <c r="D28" s="201" t="e">
        <f>LOOKUP(C28,#REF!,#REF!)</f>
        <v>#REF!</v>
      </c>
      <c r="E28" s="200" t="e">
        <f>LOOKUP(C28,#REF!,#REF!)</f>
        <v>#REF!</v>
      </c>
      <c r="F28" s="202"/>
      <c r="G28" s="138">
        <f>F28*$G$4</f>
        <v>0</v>
      </c>
      <c r="H28" s="353">
        <f>0.26*N24</f>
        <v>2.6</v>
      </c>
      <c r="I28" s="139">
        <f t="shared" si="0"/>
        <v>0</v>
      </c>
      <c r="J28" s="212"/>
      <c r="K28" s="132" t="e">
        <f>I28/$J$31</f>
        <v>#DIV/0!</v>
      </c>
      <c r="M28" s="191"/>
    </row>
    <row r="29" spans="1:14" s="6" customFormat="1" ht="30" customHeight="1" x14ac:dyDescent="0.25">
      <c r="A29" s="222" t="s">
        <v>120</v>
      </c>
      <c r="B29" s="125" t="s">
        <v>100</v>
      </c>
      <c r="C29" s="128" t="s">
        <v>92</v>
      </c>
      <c r="D29" s="201" t="e">
        <f>LOOKUP(C29,#REF!,#REF!)</f>
        <v>#REF!</v>
      </c>
      <c r="E29" s="200" t="e">
        <f>LOOKUP(C29,#REF!,#REF!)</f>
        <v>#REF!</v>
      </c>
      <c r="F29" s="202"/>
      <c r="G29" s="138">
        <f>F29*$G$4</f>
        <v>0</v>
      </c>
      <c r="H29" s="353">
        <f>0.97*N24</f>
        <v>9.6999999999999993</v>
      </c>
      <c r="I29" s="139">
        <f t="shared" si="0"/>
        <v>0</v>
      </c>
      <c r="J29" s="212"/>
      <c r="K29" s="132" t="e">
        <f>I29/$J$31</f>
        <v>#DIV/0!</v>
      </c>
      <c r="M29" s="191"/>
    </row>
    <row r="30" spans="1:14" s="6" customFormat="1" ht="30" customHeight="1" thickBot="1" x14ac:dyDescent="0.3">
      <c r="A30" s="222" t="s">
        <v>121</v>
      </c>
      <c r="B30" s="125" t="s">
        <v>100</v>
      </c>
      <c r="C30" s="128" t="s">
        <v>93</v>
      </c>
      <c r="D30" s="201" t="e">
        <f>LOOKUP(C30,#REF!,#REF!)</f>
        <v>#REF!</v>
      </c>
      <c r="E30" s="200" t="e">
        <f>LOOKUP(C30,#REF!,#REF!)</f>
        <v>#REF!</v>
      </c>
      <c r="F30" s="202"/>
      <c r="G30" s="138">
        <f>F30*$G$4</f>
        <v>0</v>
      </c>
      <c r="H30" s="353">
        <f>0.97*N24</f>
        <v>9.6999999999999993</v>
      </c>
      <c r="I30" s="139">
        <f t="shared" si="0"/>
        <v>0</v>
      </c>
      <c r="J30" s="212"/>
      <c r="K30" s="132" t="e">
        <f>I30/$J$31</f>
        <v>#DIV/0!</v>
      </c>
      <c r="M30" s="191"/>
    </row>
    <row r="31" spans="1:14" s="6" customFormat="1" ht="15.75" customHeight="1" thickBot="1" x14ac:dyDescent="0.3">
      <c r="A31" s="519"/>
      <c r="B31" s="520"/>
      <c r="C31" s="520"/>
      <c r="D31" s="520"/>
      <c r="E31" s="521"/>
      <c r="F31" s="206"/>
      <c r="G31" s="206"/>
      <c r="H31" s="207" t="s">
        <v>63</v>
      </c>
      <c r="I31" s="215"/>
      <c r="J31" s="216">
        <f>SUM(I20:I30)</f>
        <v>0</v>
      </c>
      <c r="K31" s="210" t="e">
        <f>J31/J32</f>
        <v>#DIV/0!</v>
      </c>
      <c r="M31" s="186"/>
    </row>
    <row r="32" spans="1:14" s="254" customFormat="1" ht="16.5" thickBot="1" x14ac:dyDescent="0.3">
      <c r="A32" s="504" t="s">
        <v>127</v>
      </c>
      <c r="B32" s="524"/>
      <c r="C32" s="524"/>
      <c r="D32" s="524"/>
      <c r="E32" s="524"/>
      <c r="F32" s="524"/>
      <c r="G32" s="524"/>
      <c r="H32" s="524"/>
      <c r="I32" s="525"/>
      <c r="J32" s="252">
        <f>SUM(J5:J31)</f>
        <v>0</v>
      </c>
      <c r="K32" s="253" t="e">
        <f>K9+K12+K18+K31</f>
        <v>#DIV/0!</v>
      </c>
      <c r="M32" s="255"/>
    </row>
    <row r="33" spans="1:11" x14ac:dyDescent="0.25">
      <c r="A33" s="259"/>
      <c r="B33" s="260"/>
      <c r="C33" s="259"/>
      <c r="D33" s="261"/>
      <c r="E33" s="259"/>
      <c r="F33" s="260"/>
      <c r="G33" s="260"/>
      <c r="H33" s="260"/>
      <c r="I33" s="262"/>
      <c r="J33" s="263"/>
      <c r="K33" s="264"/>
    </row>
    <row r="34" spans="1:11" x14ac:dyDescent="0.25">
      <c r="A34" s="514" t="s">
        <v>64</v>
      </c>
      <c r="B34" s="515"/>
      <c r="C34" s="515"/>
      <c r="D34" s="331"/>
      <c r="E34" s="361"/>
      <c r="F34" s="361"/>
      <c r="G34" s="361"/>
      <c r="H34" s="499" t="s">
        <v>167</v>
      </c>
      <c r="I34" s="499"/>
      <c r="J34" s="499"/>
      <c r="K34" s="499"/>
    </row>
    <row r="35" spans="1:11" x14ac:dyDescent="0.25">
      <c r="A35" s="331"/>
      <c r="B35" s="497" t="s">
        <v>102</v>
      </c>
      <c r="C35" s="497"/>
      <c r="D35" s="332"/>
      <c r="E35" s="332"/>
      <c r="F35" s="332"/>
      <c r="G35" s="332"/>
      <c r="H35" s="332"/>
      <c r="I35" s="332"/>
      <c r="J35" s="332"/>
      <c r="K35" s="332"/>
    </row>
    <row r="36" spans="1:11" x14ac:dyDescent="0.25">
      <c r="A36" s="331"/>
      <c r="B36" s="498" t="s">
        <v>103</v>
      </c>
      <c r="C36" s="498"/>
      <c r="D36" s="332"/>
      <c r="E36" s="332"/>
      <c r="F36" s="332"/>
      <c r="G36" s="332"/>
      <c r="H36" s="332"/>
      <c r="I36" s="332"/>
      <c r="J36" s="332"/>
      <c r="K36" s="332"/>
    </row>
    <row r="37" spans="1:11" x14ac:dyDescent="0.25">
      <c r="A37" s="333"/>
      <c r="B37" s="498" t="s">
        <v>104</v>
      </c>
      <c r="C37" s="498"/>
      <c r="D37" s="332"/>
      <c r="E37" s="332"/>
      <c r="F37" s="332"/>
      <c r="G37" s="332"/>
      <c r="H37" s="332"/>
      <c r="I37" s="332"/>
      <c r="J37" s="332"/>
      <c r="K37" s="332"/>
    </row>
    <row r="38" spans="1:11" x14ac:dyDescent="0.25">
      <c r="A38" s="182"/>
      <c r="B38" s="240"/>
      <c r="C38" s="182"/>
      <c r="D38" s="362"/>
      <c r="E38" s="360"/>
      <c r="F38" s="401"/>
      <c r="G38" s="401"/>
      <c r="H38" s="6"/>
      <c r="I38" s="243"/>
      <c r="J38" s="244"/>
      <c r="K38" s="241"/>
    </row>
    <row r="39" spans="1:11" x14ac:dyDescent="0.25">
      <c r="A39" s="182"/>
      <c r="B39" s="240"/>
      <c r="C39" s="182"/>
      <c r="D39" s="403"/>
      <c r="E39" s="403"/>
      <c r="F39" s="402"/>
      <c r="G39" s="533"/>
      <c r="H39" s="403"/>
      <c r="I39" s="403"/>
      <c r="J39" s="403"/>
      <c r="K39" s="403"/>
    </row>
    <row r="40" spans="1:11" ht="15" customHeight="1" x14ac:dyDescent="0.25">
      <c r="A40" s="182"/>
      <c r="B40" s="240"/>
      <c r="C40" s="182"/>
      <c r="D40" s="403"/>
      <c r="E40" s="403"/>
      <c r="F40" s="401"/>
      <c r="G40" s="536"/>
      <c r="H40" s="403"/>
      <c r="I40" s="403"/>
      <c r="J40" s="403"/>
      <c r="K40" s="403"/>
    </row>
    <row r="41" spans="1:11" ht="15" customHeight="1" x14ac:dyDescent="0.25">
      <c r="A41" s="182"/>
      <c r="B41" s="240"/>
      <c r="C41" s="182"/>
      <c r="D41" s="403"/>
      <c r="E41" s="403"/>
      <c r="F41" s="401"/>
      <c r="G41" s="401"/>
      <c r="H41" s="414"/>
      <c r="I41" s="414"/>
      <c r="J41" s="414"/>
      <c r="K41" s="414"/>
    </row>
    <row r="42" spans="1:11" x14ac:dyDescent="0.25">
      <c r="A42" s="182"/>
      <c r="B42" s="240"/>
      <c r="C42" s="182"/>
      <c r="D42" s="362"/>
      <c r="E42" s="360"/>
      <c r="F42" s="401"/>
      <c r="G42" s="401"/>
      <c r="H42" s="6"/>
      <c r="I42" s="243"/>
      <c r="J42" s="244"/>
      <c r="K42" s="241"/>
    </row>
    <row r="43" spans="1:11" x14ac:dyDescent="0.25">
      <c r="A43" s="182"/>
      <c r="B43" s="240"/>
      <c r="C43" s="182"/>
      <c r="D43" s="362"/>
      <c r="E43" s="360"/>
      <c r="F43" s="401"/>
      <c r="G43" s="401"/>
      <c r="H43" s="6"/>
      <c r="I43" s="243"/>
      <c r="J43" s="244"/>
      <c r="K43" s="241"/>
    </row>
    <row r="44" spans="1:11" x14ac:dyDescent="0.25">
      <c r="B44" s="240"/>
      <c r="C44" s="182"/>
      <c r="D44" s="362"/>
      <c r="E44" s="360"/>
      <c r="F44" s="401"/>
      <c r="G44" s="401"/>
      <c r="H44" s="6"/>
      <c r="I44" s="243"/>
      <c r="J44" s="244"/>
      <c r="K44" s="241"/>
    </row>
    <row r="45" spans="1:11" x14ac:dyDescent="0.25">
      <c r="A45" s="182"/>
      <c r="B45" s="240"/>
      <c r="C45" s="182"/>
      <c r="D45" s="362"/>
      <c r="E45" s="360"/>
      <c r="F45" s="401"/>
      <c r="G45" s="401"/>
      <c r="H45" s="403"/>
      <c r="I45" s="403"/>
      <c r="J45" s="403"/>
      <c r="K45" s="403"/>
    </row>
    <row r="46" spans="1:11" x14ac:dyDescent="0.25">
      <c r="A46" s="182"/>
      <c r="B46" s="240"/>
      <c r="C46" s="182"/>
      <c r="D46" s="362"/>
      <c r="E46" s="360"/>
      <c r="F46" s="401"/>
      <c r="G46" s="401"/>
      <c r="H46" s="403"/>
      <c r="I46" s="403"/>
      <c r="J46" s="403"/>
      <c r="K46" s="403"/>
    </row>
    <row r="47" spans="1:11" x14ac:dyDescent="0.25">
      <c r="A47" s="182"/>
      <c r="B47" s="240"/>
      <c r="C47" s="182"/>
      <c r="D47" s="362"/>
      <c r="E47" s="360"/>
      <c r="F47" s="401"/>
      <c r="G47" s="401"/>
      <c r="H47" s="403"/>
      <c r="I47" s="403"/>
      <c r="J47" s="403"/>
      <c r="K47" s="403"/>
    </row>
    <row r="48" spans="1:11" x14ac:dyDescent="0.25">
      <c r="A48" s="182"/>
      <c r="B48" s="240"/>
      <c r="C48" s="182"/>
      <c r="D48" s="242"/>
      <c r="E48" s="182"/>
      <c r="F48" s="240"/>
      <c r="G48" s="240"/>
      <c r="H48" s="240"/>
      <c r="I48" s="243"/>
      <c r="J48" s="244"/>
      <c r="K48" s="245"/>
    </row>
    <row r="49" spans="1:11" x14ac:dyDescent="0.25">
      <c r="A49" s="182"/>
      <c r="B49" s="240"/>
      <c r="C49" s="182"/>
      <c r="D49" s="242"/>
      <c r="E49" s="182"/>
      <c r="F49" s="240"/>
      <c r="G49" s="240"/>
      <c r="H49" s="240"/>
      <c r="I49" s="243"/>
      <c r="J49" s="244"/>
      <c r="K49" s="245"/>
    </row>
    <row r="50" spans="1:11" x14ac:dyDescent="0.25">
      <c r="A50" s="182"/>
      <c r="B50" s="240"/>
      <c r="C50" s="182"/>
      <c r="D50" s="242"/>
      <c r="E50" s="182"/>
      <c r="F50" s="240"/>
      <c r="G50" s="240"/>
      <c r="H50" s="240"/>
      <c r="I50" s="243"/>
      <c r="J50" s="244"/>
      <c r="K50" s="245"/>
    </row>
    <row r="51" spans="1:11" x14ac:dyDescent="0.25">
      <c r="A51" s="182"/>
      <c r="B51" s="240"/>
      <c r="C51" s="182"/>
      <c r="D51" s="242"/>
      <c r="E51" s="182"/>
      <c r="F51" s="240"/>
      <c r="G51" s="240"/>
      <c r="H51" s="240"/>
      <c r="I51" s="243"/>
      <c r="J51" s="244"/>
      <c r="K51" s="245"/>
    </row>
    <row r="52" spans="1:11" x14ac:dyDescent="0.25">
      <c r="A52" s="182"/>
      <c r="B52" s="240"/>
      <c r="C52" s="182"/>
      <c r="D52" s="242"/>
      <c r="E52" s="182"/>
      <c r="F52" s="240"/>
      <c r="G52" s="240"/>
      <c r="H52" s="240"/>
      <c r="I52" s="243"/>
      <c r="J52" s="244"/>
      <c r="K52" s="245"/>
    </row>
  </sheetData>
  <mergeCells count="28">
    <mergeCell ref="H45:K45"/>
    <mergeCell ref="H46:K46"/>
    <mergeCell ref="H47:K47"/>
    <mergeCell ref="D39:E39"/>
    <mergeCell ref="H39:K39"/>
    <mergeCell ref="D40:E40"/>
    <mergeCell ref="H40:K40"/>
    <mergeCell ref="D41:E41"/>
    <mergeCell ref="H41:K41"/>
    <mergeCell ref="H34:K34"/>
    <mergeCell ref="A1:K1"/>
    <mergeCell ref="A9:E9"/>
    <mergeCell ref="A2:A4"/>
    <mergeCell ref="B2:B4"/>
    <mergeCell ref="C2:C4"/>
    <mergeCell ref="D2:D4"/>
    <mergeCell ref="E2:E4"/>
    <mergeCell ref="F2:F4"/>
    <mergeCell ref="H2:H4"/>
    <mergeCell ref="I2:I4"/>
    <mergeCell ref="J2:J4"/>
    <mergeCell ref="K2:K4"/>
    <mergeCell ref="A31:E31"/>
    <mergeCell ref="B37:C37"/>
    <mergeCell ref="A32:I32"/>
    <mergeCell ref="A34:C34"/>
    <mergeCell ref="B35:C35"/>
    <mergeCell ref="B36:C36"/>
  </mergeCells>
  <printOptions horizontalCentered="1"/>
  <pageMargins left="0.31496062992125984" right="0.35433070866141736" top="1.1811023622047245" bottom="1.1811023622047245" header="0.31496062992125984" footer="0.31496062992125984"/>
  <pageSetup paperSize="9" scale="62"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7"/>
  <sheetViews>
    <sheetView view="pageBreakPreview" zoomScaleNormal="84" zoomScaleSheetLayoutView="100" workbookViewId="0">
      <selection sqref="A1:K1"/>
    </sheetView>
  </sheetViews>
  <sheetFormatPr defaultRowHeight="15" x14ac:dyDescent="0.2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4.7109375" style="250" bestFit="1" customWidth="1"/>
    <col min="11" max="11" width="9.140625" style="251"/>
    <col min="12" max="12" width="9.140625" style="190"/>
    <col min="13" max="13" width="9.140625" style="191"/>
    <col min="14" max="16384" width="9.140625" style="190"/>
  </cols>
  <sheetData>
    <row r="1" spans="1:13" ht="36" customHeight="1" thickBot="1" x14ac:dyDescent="0.3">
      <c r="A1" s="516" t="s">
        <v>159</v>
      </c>
      <c r="B1" s="517"/>
      <c r="C1" s="517"/>
      <c r="D1" s="517"/>
      <c r="E1" s="517"/>
      <c r="F1" s="517"/>
      <c r="G1" s="517"/>
      <c r="H1" s="517"/>
      <c r="I1" s="517"/>
      <c r="J1" s="517"/>
      <c r="K1" s="518"/>
    </row>
    <row r="2" spans="1:13" ht="43.5" customHeight="1" x14ac:dyDescent="0.25">
      <c r="A2" s="494" t="s">
        <v>20</v>
      </c>
      <c r="B2" s="476" t="s">
        <v>21</v>
      </c>
      <c r="C2" s="476" t="s">
        <v>6</v>
      </c>
      <c r="D2" s="476" t="s">
        <v>27</v>
      </c>
      <c r="E2" s="479" t="s">
        <v>22</v>
      </c>
      <c r="F2" s="479" t="s">
        <v>65</v>
      </c>
      <c r="G2" s="192" t="s">
        <v>74</v>
      </c>
      <c r="H2" s="479" t="s">
        <v>23</v>
      </c>
      <c r="I2" s="485" t="s">
        <v>24</v>
      </c>
      <c r="J2" s="488" t="s">
        <v>40</v>
      </c>
      <c r="K2" s="491" t="s">
        <v>25</v>
      </c>
    </row>
    <row r="3" spans="1:13" ht="29.25" customHeight="1" x14ac:dyDescent="0.25">
      <c r="A3" s="495"/>
      <c r="B3" s="477"/>
      <c r="C3" s="477"/>
      <c r="D3" s="477"/>
      <c r="E3" s="480"/>
      <c r="F3" s="480"/>
      <c r="G3" s="116">
        <v>20.09</v>
      </c>
      <c r="H3" s="480"/>
      <c r="I3" s="486"/>
      <c r="J3" s="489"/>
      <c r="K3" s="492"/>
    </row>
    <row r="4" spans="1:13" ht="9" hidden="1" customHeight="1" x14ac:dyDescent="0.25">
      <c r="A4" s="496"/>
      <c r="B4" s="478"/>
      <c r="C4" s="478"/>
      <c r="D4" s="478"/>
      <c r="E4" s="481"/>
      <c r="F4" s="481"/>
      <c r="G4" s="195">
        <f>(G3/100)+1</f>
        <v>1.2009000000000001</v>
      </c>
      <c r="H4" s="481"/>
      <c r="I4" s="487"/>
      <c r="J4" s="490"/>
      <c r="K4" s="493"/>
    </row>
    <row r="5" spans="1:13" x14ac:dyDescent="0.25">
      <c r="A5" s="13" t="s">
        <v>84</v>
      </c>
      <c r="B5" s="196"/>
      <c r="C5" s="196"/>
      <c r="D5" s="369" t="s">
        <v>13</v>
      </c>
      <c r="E5" s="370"/>
      <c r="F5" s="370"/>
      <c r="G5" s="370"/>
      <c r="H5" s="198"/>
      <c r="I5" s="199"/>
      <c r="J5" s="69"/>
      <c r="K5" s="19"/>
    </row>
    <row r="6" spans="1:13" ht="25.5" x14ac:dyDescent="0.25">
      <c r="A6" s="143" t="s">
        <v>85</v>
      </c>
      <c r="B6" s="146"/>
      <c r="C6" s="211"/>
      <c r="D6" s="217" t="s">
        <v>68</v>
      </c>
      <c r="E6" s="211"/>
      <c r="F6" s="202"/>
      <c r="G6" s="202"/>
      <c r="H6" s="202"/>
      <c r="I6" s="212"/>
      <c r="J6" s="212"/>
      <c r="K6" s="147"/>
    </row>
    <row r="7" spans="1:13" ht="27.75" customHeight="1" x14ac:dyDescent="0.25">
      <c r="A7" s="145" t="s">
        <v>31</v>
      </c>
      <c r="B7" s="125" t="s">
        <v>100</v>
      </c>
      <c r="C7" s="200" t="s">
        <v>7</v>
      </c>
      <c r="D7" s="201" t="e">
        <f>LOOKUP(C7,#REF!,#REF!)</f>
        <v>#REF!</v>
      </c>
      <c r="E7" s="200" t="e">
        <f>LOOKUP(C7,#REF!,#REF!)</f>
        <v>#REF!</v>
      </c>
      <c r="F7" s="202"/>
      <c r="G7" s="138">
        <f>F7*G4</f>
        <v>0</v>
      </c>
      <c r="H7" s="202">
        <f>H8*0.3</f>
        <v>0.6</v>
      </c>
      <c r="I7" s="139">
        <f>G7*H7</f>
        <v>0</v>
      </c>
      <c r="J7" s="212"/>
      <c r="K7" s="132" t="e">
        <f>I7/J32</f>
        <v>#DIV/0!</v>
      </c>
      <c r="M7" s="191">
        <f t="shared" ref="M7:M25" si="0">F7*0.765</f>
        <v>0</v>
      </c>
    </row>
    <row r="8" spans="1:13" ht="26.25" thickBot="1" x14ac:dyDescent="0.3">
      <c r="A8" s="145" t="s">
        <v>32</v>
      </c>
      <c r="B8" s="125" t="s">
        <v>100</v>
      </c>
      <c r="C8" s="128" t="s">
        <v>98</v>
      </c>
      <c r="D8" s="201" t="e">
        <f>LOOKUP(C8,#REF!,#REF!)</f>
        <v>#REF!</v>
      </c>
      <c r="E8" s="200" t="e">
        <f>LOOKUP(C8,#REF!,#REF!)</f>
        <v>#REF!</v>
      </c>
      <c r="F8" s="148"/>
      <c r="G8" s="138">
        <f>F8*G4</f>
        <v>0</v>
      </c>
      <c r="H8" s="202">
        <v>2</v>
      </c>
      <c r="I8" s="139">
        <f>G8*H8</f>
        <v>0</v>
      </c>
      <c r="J8" s="212"/>
      <c r="K8" s="132" t="e">
        <f>I8/J32</f>
        <v>#DIV/0!</v>
      </c>
      <c r="M8" s="191">
        <f t="shared" si="0"/>
        <v>0</v>
      </c>
    </row>
    <row r="9" spans="1:13" ht="15.75" thickBot="1" x14ac:dyDescent="0.3">
      <c r="A9" s="519"/>
      <c r="B9" s="520"/>
      <c r="C9" s="520"/>
      <c r="D9" s="520"/>
      <c r="E9" s="521"/>
      <c r="F9" s="206"/>
      <c r="G9" s="206"/>
      <c r="H9" s="207" t="s">
        <v>73</v>
      </c>
      <c r="I9" s="215"/>
      <c r="J9" s="216">
        <f>SUM(I7:I8)</f>
        <v>0</v>
      </c>
      <c r="K9" s="210" t="e">
        <f>J9/J32</f>
        <v>#DIV/0!</v>
      </c>
    </row>
    <row r="10" spans="1:13" x14ac:dyDescent="0.25">
      <c r="A10" s="219" t="s">
        <v>86</v>
      </c>
      <c r="B10" s="211"/>
      <c r="C10" s="211"/>
      <c r="D10" s="220" t="s">
        <v>78</v>
      </c>
      <c r="E10" s="221"/>
      <c r="F10" s="202"/>
      <c r="G10" s="202"/>
      <c r="H10" s="202"/>
      <c r="I10" s="212"/>
      <c r="J10" s="212"/>
      <c r="K10" s="147"/>
    </row>
    <row r="11" spans="1:13" ht="26.25" thickBot="1" x14ac:dyDescent="0.3">
      <c r="A11" s="222" t="s">
        <v>33</v>
      </c>
      <c r="B11" s="125" t="s">
        <v>100</v>
      </c>
      <c r="C11" s="200" t="s">
        <v>1</v>
      </c>
      <c r="D11" s="201" t="e">
        <f>LOOKUP(C11,#REF!,#REF!)</f>
        <v>#REF!</v>
      </c>
      <c r="E11" s="200" t="e">
        <f>LOOKUP(C11,#REF!,#REF!)</f>
        <v>#REF!</v>
      </c>
      <c r="F11" s="202"/>
      <c r="G11" s="138">
        <f>F11*G4</f>
        <v>0</v>
      </c>
      <c r="H11" s="202">
        <v>2793.33</v>
      </c>
      <c r="I11" s="139">
        <f>G11*H11</f>
        <v>0</v>
      </c>
      <c r="J11" s="212"/>
      <c r="K11" s="132" t="e">
        <f>I11/J32</f>
        <v>#DIV/0!</v>
      </c>
      <c r="M11" s="191">
        <f t="shared" si="0"/>
        <v>0</v>
      </c>
    </row>
    <row r="12" spans="1:13" ht="15.75" thickBot="1" x14ac:dyDescent="0.3">
      <c r="A12" s="223"/>
      <c r="B12" s="224"/>
      <c r="C12" s="224"/>
      <c r="D12" s="225"/>
      <c r="E12" s="226"/>
      <c r="F12" s="206"/>
      <c r="G12" s="206"/>
      <c r="H12" s="207" t="s">
        <v>61</v>
      </c>
      <c r="I12" s="215"/>
      <c r="J12" s="216">
        <f>SUM(I11:I11)</f>
        <v>0</v>
      </c>
      <c r="K12" s="210" t="e">
        <f>J12/J32</f>
        <v>#DIV/0!</v>
      </c>
    </row>
    <row r="13" spans="1:13" x14ac:dyDescent="0.25">
      <c r="A13" s="219" t="s">
        <v>87</v>
      </c>
      <c r="B13" s="211"/>
      <c r="C13" s="211"/>
      <c r="D13" s="220" t="s">
        <v>15</v>
      </c>
      <c r="E13" s="211"/>
      <c r="F13" s="202"/>
      <c r="G13" s="202"/>
      <c r="H13" s="202"/>
      <c r="I13" s="212"/>
      <c r="J13" s="212"/>
      <c r="K13" s="147"/>
    </row>
    <row r="14" spans="1:13" ht="38.25" x14ac:dyDescent="0.25">
      <c r="A14" s="222" t="s">
        <v>37</v>
      </c>
      <c r="B14" s="125" t="s">
        <v>100</v>
      </c>
      <c r="C14" s="200" t="s">
        <v>3</v>
      </c>
      <c r="D14" s="201" t="e">
        <f>LOOKUP(C14,#REF!,#REF!)</f>
        <v>#REF!</v>
      </c>
      <c r="E14" s="200" t="e">
        <f>LOOKUP(C14,#REF!,#REF!)</f>
        <v>#REF!</v>
      </c>
      <c r="F14" s="202"/>
      <c r="G14" s="138">
        <f>F14*G4</f>
        <v>0</v>
      </c>
      <c r="H14" s="202">
        <v>2793.33</v>
      </c>
      <c r="I14" s="139">
        <f>G14*H14</f>
        <v>0</v>
      </c>
      <c r="J14" s="212"/>
      <c r="K14" s="132" t="e">
        <f>I14/J32</f>
        <v>#DIV/0!</v>
      </c>
      <c r="M14" s="191">
        <f t="shared" si="0"/>
        <v>0</v>
      </c>
    </row>
    <row r="15" spans="1:13" ht="76.5" x14ac:dyDescent="0.25">
      <c r="A15" s="222" t="s">
        <v>38</v>
      </c>
      <c r="B15" s="135" t="s">
        <v>101</v>
      </c>
      <c r="C15" s="205">
        <v>94274</v>
      </c>
      <c r="D15" s="227" t="s">
        <v>5</v>
      </c>
      <c r="E15" s="200" t="s">
        <v>0</v>
      </c>
      <c r="F15" s="202"/>
      <c r="G15" s="138">
        <f>F15*G4</f>
        <v>0</v>
      </c>
      <c r="H15" s="202">
        <v>20</v>
      </c>
      <c r="I15" s="139">
        <f>G15*H15</f>
        <v>0</v>
      </c>
      <c r="J15" s="212"/>
      <c r="K15" s="132" t="e">
        <f>I15/J32</f>
        <v>#DIV/0!</v>
      </c>
      <c r="M15" s="191">
        <f t="shared" si="0"/>
        <v>0</v>
      </c>
    </row>
    <row r="16" spans="1:13" ht="76.5" x14ac:dyDescent="0.25">
      <c r="A16" s="222" t="s">
        <v>39</v>
      </c>
      <c r="B16" s="135" t="s">
        <v>101</v>
      </c>
      <c r="C16" s="205">
        <v>94275</v>
      </c>
      <c r="D16" s="227" t="s">
        <v>80</v>
      </c>
      <c r="E16" s="200" t="s">
        <v>0</v>
      </c>
      <c r="F16" s="202"/>
      <c r="G16" s="138">
        <f>F16*G4</f>
        <v>0</v>
      </c>
      <c r="H16" s="202">
        <v>162</v>
      </c>
      <c r="I16" s="139">
        <f>G16*H16</f>
        <v>0</v>
      </c>
      <c r="J16" s="212"/>
      <c r="K16" s="132" t="e">
        <f>I16/J32</f>
        <v>#DIV/0!</v>
      </c>
      <c r="M16" s="191">
        <f t="shared" si="0"/>
        <v>0</v>
      </c>
    </row>
    <row r="17" spans="1:14" ht="26.25" thickBot="1" x14ac:dyDescent="0.3">
      <c r="A17" s="222" t="s">
        <v>110</v>
      </c>
      <c r="B17" s="125" t="s">
        <v>100</v>
      </c>
      <c r="C17" s="200" t="s">
        <v>2</v>
      </c>
      <c r="D17" s="201" t="e">
        <f>LOOKUP(C17,#REF!,#REF!)</f>
        <v>#REF!</v>
      </c>
      <c r="E17" s="200" t="e">
        <f>LOOKUP(C17,#REF!,#REF!)</f>
        <v>#REF!</v>
      </c>
      <c r="F17" s="202"/>
      <c r="G17" s="138">
        <f>F17*G4</f>
        <v>0</v>
      </c>
      <c r="H17" s="202">
        <f>(H15+H16)*0.3*0.11</f>
        <v>6.0060000000000002</v>
      </c>
      <c r="I17" s="139">
        <f>G17*H17</f>
        <v>0</v>
      </c>
      <c r="J17" s="212"/>
      <c r="K17" s="132" t="e">
        <f>I17/J32</f>
        <v>#DIV/0!</v>
      </c>
      <c r="M17" s="191">
        <f t="shared" si="0"/>
        <v>0</v>
      </c>
    </row>
    <row r="18" spans="1:14" ht="15.75" thickBot="1" x14ac:dyDescent="0.3">
      <c r="A18" s="223"/>
      <c r="B18" s="224"/>
      <c r="C18" s="224"/>
      <c r="D18" s="225"/>
      <c r="E18" s="226"/>
      <c r="F18" s="206"/>
      <c r="G18" s="206"/>
      <c r="H18" s="207" t="s">
        <v>62</v>
      </c>
      <c r="I18" s="215"/>
      <c r="J18" s="216">
        <f>SUM(I14:I17)</f>
        <v>0</v>
      </c>
      <c r="K18" s="210" t="e">
        <f>J18/J32</f>
        <v>#DIV/0!</v>
      </c>
    </row>
    <row r="19" spans="1:14" x14ac:dyDescent="0.25">
      <c r="A19" s="219" t="s">
        <v>88</v>
      </c>
      <c r="B19" s="211"/>
      <c r="C19" s="211"/>
      <c r="D19" s="228" t="s">
        <v>115</v>
      </c>
      <c r="E19" s="211"/>
      <c r="F19" s="202"/>
      <c r="G19" s="202"/>
      <c r="H19" s="202"/>
      <c r="I19" s="212"/>
      <c r="J19" s="212"/>
      <c r="K19" s="147"/>
    </row>
    <row r="20" spans="1:14" ht="25.5" x14ac:dyDescent="0.25">
      <c r="A20" s="219" t="s">
        <v>41</v>
      </c>
      <c r="B20" s="135" t="s">
        <v>101</v>
      </c>
      <c r="C20" s="200">
        <v>72947</v>
      </c>
      <c r="D20" s="201" t="s">
        <v>69</v>
      </c>
      <c r="E20" s="200" t="s">
        <v>9</v>
      </c>
      <c r="F20" s="202"/>
      <c r="G20" s="138">
        <f>F20*G4</f>
        <v>0</v>
      </c>
      <c r="H20" s="229">
        <v>49.73</v>
      </c>
      <c r="I20" s="139">
        <f>G20*H20</f>
        <v>0</v>
      </c>
      <c r="J20" s="212"/>
      <c r="K20" s="132" t="e">
        <f>I20/J32</f>
        <v>#DIV/0!</v>
      </c>
      <c r="M20" s="191">
        <f t="shared" si="0"/>
        <v>0</v>
      </c>
    </row>
    <row r="21" spans="1:14" ht="25.5" x14ac:dyDescent="0.25">
      <c r="A21" s="219" t="s">
        <v>42</v>
      </c>
      <c r="B21" s="125" t="s">
        <v>100</v>
      </c>
      <c r="C21" s="200" t="s">
        <v>11</v>
      </c>
      <c r="D21" s="201" t="e">
        <f>LOOKUP(C21,#REF!,#REF!)</f>
        <v>#REF!</v>
      </c>
      <c r="E21" s="200" t="e">
        <f>LOOKUP(C21,#REF!,#REF!)</f>
        <v>#REF!</v>
      </c>
      <c r="F21" s="202"/>
      <c r="G21" s="138">
        <f>F21*G4</f>
        <v>0</v>
      </c>
      <c r="H21" s="229">
        <f>0.28+0.21+0.21</f>
        <v>0.7</v>
      </c>
      <c r="I21" s="139">
        <f t="shared" ref="I21:I30" si="1">G21*H21</f>
        <v>0</v>
      </c>
      <c r="J21" s="212"/>
      <c r="K21" s="132" t="e">
        <f>I21/J32</f>
        <v>#DIV/0!</v>
      </c>
      <c r="M21" s="191">
        <f t="shared" si="0"/>
        <v>0</v>
      </c>
    </row>
    <row r="22" spans="1:14" x14ac:dyDescent="0.25">
      <c r="A22" s="219" t="s">
        <v>43</v>
      </c>
      <c r="B22" s="125" t="s">
        <v>100</v>
      </c>
      <c r="C22" s="213" t="s">
        <v>19</v>
      </c>
      <c r="D22" s="201" t="e">
        <f>LOOKUP(C22,#REF!,#REF!)</f>
        <v>#REF!</v>
      </c>
      <c r="E22" s="200" t="e">
        <f>LOOKUP(C22,#REF!,#REF!)</f>
        <v>#REF!</v>
      </c>
      <c r="F22" s="202"/>
      <c r="G22" s="138">
        <f>F22*G4</f>
        <v>0</v>
      </c>
      <c r="H22" s="229">
        <f>5*3</f>
        <v>15</v>
      </c>
      <c r="I22" s="139">
        <f t="shared" si="1"/>
        <v>0</v>
      </c>
      <c r="J22" s="212"/>
      <c r="K22" s="132" t="e">
        <f>I22/J32</f>
        <v>#DIV/0!</v>
      </c>
      <c r="M22" s="191">
        <f t="shared" si="0"/>
        <v>0</v>
      </c>
    </row>
    <row r="23" spans="1:14" ht="25.5" x14ac:dyDescent="0.25">
      <c r="A23" s="219" t="s">
        <v>44</v>
      </c>
      <c r="B23" s="125" t="s">
        <v>100</v>
      </c>
      <c r="C23" s="213" t="s">
        <v>95</v>
      </c>
      <c r="D23" s="201" t="e">
        <f>LOOKUP(C23,#REF!,#REF!)</f>
        <v>#REF!</v>
      </c>
      <c r="E23" s="200" t="e">
        <f>LOOKUP(C23,#REF!,#REF!)</f>
        <v>#REF!</v>
      </c>
      <c r="F23" s="202"/>
      <c r="G23" s="138">
        <f>F23*G4</f>
        <v>0</v>
      </c>
      <c r="H23" s="229">
        <f>5*0.5</f>
        <v>2.5</v>
      </c>
      <c r="I23" s="139">
        <f>G23*H23</f>
        <v>0</v>
      </c>
      <c r="J23" s="212"/>
      <c r="K23" s="132" t="e">
        <f>I23/J32</f>
        <v>#DIV/0!</v>
      </c>
    </row>
    <row r="24" spans="1:14" s="6" customFormat="1" ht="25.5" x14ac:dyDescent="0.25">
      <c r="A24" s="219" t="s">
        <v>45</v>
      </c>
      <c r="B24" s="135" t="s">
        <v>101</v>
      </c>
      <c r="C24" s="213" t="s">
        <v>105</v>
      </c>
      <c r="D24" s="214" t="s">
        <v>57</v>
      </c>
      <c r="E24" s="218" t="s">
        <v>12</v>
      </c>
      <c r="F24" s="202"/>
      <c r="G24" s="138">
        <f>F24*G4</f>
        <v>0</v>
      </c>
      <c r="H24" s="229">
        <v>2</v>
      </c>
      <c r="I24" s="139">
        <f t="shared" si="1"/>
        <v>0</v>
      </c>
      <c r="J24" s="212"/>
      <c r="K24" s="132" t="e">
        <f>I24/J32</f>
        <v>#DIV/0!</v>
      </c>
      <c r="M24" s="191">
        <f t="shared" si="0"/>
        <v>0</v>
      </c>
      <c r="N24" s="6">
        <v>6</v>
      </c>
    </row>
    <row r="25" spans="1:14" s="6" customFormat="1" ht="30" customHeight="1" x14ac:dyDescent="0.25">
      <c r="A25" s="219" t="s">
        <v>46</v>
      </c>
      <c r="B25" s="125" t="s">
        <v>100</v>
      </c>
      <c r="C25" s="200" t="s">
        <v>10</v>
      </c>
      <c r="D25" s="201" t="s">
        <v>58</v>
      </c>
      <c r="E25" s="200" t="e">
        <f>LOOKUP(C25,#REF!,#REF!)</f>
        <v>#REF!</v>
      </c>
      <c r="F25" s="202"/>
      <c r="G25" s="138">
        <f>F25*G4</f>
        <v>0</v>
      </c>
      <c r="H25" s="202">
        <v>123.68</v>
      </c>
      <c r="I25" s="139">
        <f t="shared" si="1"/>
        <v>0</v>
      </c>
      <c r="J25" s="212"/>
      <c r="K25" s="132" t="e">
        <f>I25/J32</f>
        <v>#DIV/0!</v>
      </c>
      <c r="M25" s="191">
        <f t="shared" si="0"/>
        <v>0</v>
      </c>
    </row>
    <row r="26" spans="1:14" s="6" customFormat="1" ht="30" customHeight="1" x14ac:dyDescent="0.25">
      <c r="A26" s="219" t="s">
        <v>117</v>
      </c>
      <c r="B26" s="125" t="s">
        <v>100</v>
      </c>
      <c r="C26" s="128" t="s">
        <v>96</v>
      </c>
      <c r="D26" s="201" t="e">
        <f>LOOKUP(C26,#REF!,#REF!)</f>
        <v>#REF!</v>
      </c>
      <c r="E26" s="200" t="e">
        <f>LOOKUP(C26,#REF!,#REF!)</f>
        <v>#REF!</v>
      </c>
      <c r="F26" s="202"/>
      <c r="G26" s="138">
        <f>F26*$G$4</f>
        <v>0</v>
      </c>
      <c r="H26" s="353">
        <f>1.13*N24</f>
        <v>6.7799999999999994</v>
      </c>
      <c r="I26" s="139">
        <f t="shared" si="1"/>
        <v>0</v>
      </c>
      <c r="J26" s="212"/>
      <c r="K26" s="132" t="e">
        <f>I26/$J$31</f>
        <v>#DIV/0!</v>
      </c>
      <c r="M26" s="191"/>
    </row>
    <row r="27" spans="1:14" s="6" customFormat="1" ht="38.25" x14ac:dyDescent="0.25">
      <c r="A27" s="219" t="s">
        <v>118</v>
      </c>
      <c r="B27" s="125" t="s">
        <v>100</v>
      </c>
      <c r="C27" s="128" t="s">
        <v>97</v>
      </c>
      <c r="D27" s="201" t="e">
        <f>LOOKUP(C27,#REF!,#REF!)</f>
        <v>#REF!</v>
      </c>
      <c r="E27" s="200" t="e">
        <f>LOOKUP(C27,#REF!,#REF!)</f>
        <v>#REF!</v>
      </c>
      <c r="F27" s="202"/>
      <c r="G27" s="138">
        <f>F27*$G$4</f>
        <v>0</v>
      </c>
      <c r="H27" s="353">
        <f>1.13*N24</f>
        <v>6.7799999999999994</v>
      </c>
      <c r="I27" s="139">
        <f t="shared" si="1"/>
        <v>0</v>
      </c>
      <c r="J27" s="212"/>
      <c r="K27" s="132" t="e">
        <f>I27/$J$31</f>
        <v>#DIV/0!</v>
      </c>
      <c r="M27" s="191"/>
    </row>
    <row r="28" spans="1:14" s="6" customFormat="1" ht="30" customHeight="1" x14ac:dyDescent="0.25">
      <c r="A28" s="219" t="s">
        <v>119</v>
      </c>
      <c r="B28" s="125" t="s">
        <v>100</v>
      </c>
      <c r="C28" s="128" t="s">
        <v>94</v>
      </c>
      <c r="D28" s="201" t="e">
        <f>LOOKUP(C28,#REF!,#REF!)</f>
        <v>#REF!</v>
      </c>
      <c r="E28" s="200" t="e">
        <f>LOOKUP(C28,#REF!,#REF!)</f>
        <v>#REF!</v>
      </c>
      <c r="F28" s="202"/>
      <c r="G28" s="138">
        <f>F28*$G$4</f>
        <v>0</v>
      </c>
      <c r="H28" s="353">
        <f>0.26*N24</f>
        <v>1.56</v>
      </c>
      <c r="I28" s="139">
        <f t="shared" si="1"/>
        <v>0</v>
      </c>
      <c r="J28" s="212"/>
      <c r="K28" s="132" t="e">
        <f>I28/$J$31</f>
        <v>#DIV/0!</v>
      </c>
      <c r="M28" s="191"/>
    </row>
    <row r="29" spans="1:14" s="6" customFormat="1" ht="30" customHeight="1" x14ac:dyDescent="0.25">
      <c r="A29" s="219" t="s">
        <v>120</v>
      </c>
      <c r="B29" s="125" t="s">
        <v>100</v>
      </c>
      <c r="C29" s="128" t="s">
        <v>92</v>
      </c>
      <c r="D29" s="201" t="e">
        <f>LOOKUP(C29,#REF!,#REF!)</f>
        <v>#REF!</v>
      </c>
      <c r="E29" s="200" t="e">
        <f>LOOKUP(C29,#REF!,#REF!)</f>
        <v>#REF!</v>
      </c>
      <c r="F29" s="202"/>
      <c r="G29" s="138">
        <f>F29*$G$4</f>
        <v>0</v>
      </c>
      <c r="H29" s="353">
        <f>0.97*N24</f>
        <v>5.82</v>
      </c>
      <c r="I29" s="139">
        <f t="shared" si="1"/>
        <v>0</v>
      </c>
      <c r="J29" s="212"/>
      <c r="K29" s="132" t="e">
        <f>I29/$J$31</f>
        <v>#DIV/0!</v>
      </c>
      <c r="M29" s="191"/>
    </row>
    <row r="30" spans="1:14" s="6" customFormat="1" ht="30" customHeight="1" thickBot="1" x14ac:dyDescent="0.3">
      <c r="A30" s="219" t="s">
        <v>121</v>
      </c>
      <c r="B30" s="125" t="s">
        <v>100</v>
      </c>
      <c r="C30" s="128" t="s">
        <v>93</v>
      </c>
      <c r="D30" s="201" t="e">
        <f>LOOKUP(C30,#REF!,#REF!)</f>
        <v>#REF!</v>
      </c>
      <c r="E30" s="200" t="e">
        <f>LOOKUP(C30,#REF!,#REF!)</f>
        <v>#REF!</v>
      </c>
      <c r="F30" s="202"/>
      <c r="G30" s="138">
        <f>F30*$G$4</f>
        <v>0</v>
      </c>
      <c r="H30" s="353">
        <f>0.97*N24</f>
        <v>5.82</v>
      </c>
      <c r="I30" s="139">
        <f t="shared" si="1"/>
        <v>0</v>
      </c>
      <c r="J30" s="212"/>
      <c r="K30" s="132" t="e">
        <f>I30/$J$31</f>
        <v>#DIV/0!</v>
      </c>
      <c r="M30" s="191"/>
    </row>
    <row r="31" spans="1:14" s="6" customFormat="1" ht="15.75" customHeight="1" thickBot="1" x14ac:dyDescent="0.3">
      <c r="A31" s="519"/>
      <c r="B31" s="520"/>
      <c r="C31" s="520"/>
      <c r="D31" s="520"/>
      <c r="E31" s="521"/>
      <c r="F31" s="206"/>
      <c r="G31" s="206"/>
      <c r="H31" s="207" t="s">
        <v>63</v>
      </c>
      <c r="I31" s="215"/>
      <c r="J31" s="216">
        <f>SUM(I20:I30)</f>
        <v>0</v>
      </c>
      <c r="K31" s="210" t="e">
        <f>J31/J32</f>
        <v>#DIV/0!</v>
      </c>
      <c r="M31" s="186"/>
    </row>
    <row r="32" spans="1:14" s="254" customFormat="1" ht="16.5" thickBot="1" x14ac:dyDescent="0.3">
      <c r="A32" s="504" t="s">
        <v>127</v>
      </c>
      <c r="B32" s="524"/>
      <c r="C32" s="524"/>
      <c r="D32" s="524"/>
      <c r="E32" s="524"/>
      <c r="F32" s="524"/>
      <c r="G32" s="524"/>
      <c r="H32" s="524"/>
      <c r="I32" s="525"/>
      <c r="J32" s="252">
        <f>SUM(J5:J31)</f>
        <v>0</v>
      </c>
      <c r="K32" s="253" t="e">
        <f>K9+K12+K18+K31</f>
        <v>#DIV/0!</v>
      </c>
      <c r="M32" s="255"/>
    </row>
    <row r="33" spans="1:11" x14ac:dyDescent="0.25">
      <c r="A33" s="231"/>
      <c r="B33" s="231"/>
      <c r="C33" s="231"/>
      <c r="D33" s="232"/>
      <c r="E33" s="231"/>
      <c r="F33" s="231"/>
      <c r="G33" s="231"/>
      <c r="H33" s="231"/>
      <c r="I33" s="233"/>
      <c r="J33" s="234"/>
      <c r="K33" s="235"/>
    </row>
    <row r="34" spans="1:11" x14ac:dyDescent="0.25">
      <c r="A34" s="528" t="s">
        <v>64</v>
      </c>
      <c r="B34" s="529"/>
      <c r="C34" s="529"/>
      <c r="D34" s="336"/>
      <c r="E34" s="164"/>
      <c r="F34" s="164"/>
      <c r="G34" s="164"/>
      <c r="H34" s="499" t="s">
        <v>167</v>
      </c>
      <c r="I34" s="499"/>
      <c r="J34" s="499"/>
      <c r="K34" s="499"/>
    </row>
    <row r="35" spans="1:11" x14ac:dyDescent="0.25">
      <c r="A35" s="336"/>
      <c r="B35" s="497" t="s">
        <v>102</v>
      </c>
      <c r="C35" s="497"/>
      <c r="D35" s="164"/>
      <c r="E35" s="164"/>
      <c r="F35" s="164"/>
      <c r="G35" s="164"/>
      <c r="H35" s="164"/>
      <c r="I35" s="164"/>
      <c r="J35" s="164"/>
      <c r="K35" s="164"/>
    </row>
    <row r="36" spans="1:11" x14ac:dyDescent="0.25">
      <c r="A36" s="336"/>
      <c r="B36" s="498" t="s">
        <v>103</v>
      </c>
      <c r="C36" s="498"/>
      <c r="D36" s="164"/>
      <c r="E36" s="164"/>
      <c r="F36" s="164"/>
      <c r="G36" s="164"/>
      <c r="H36" s="164"/>
      <c r="I36" s="164"/>
      <c r="J36" s="164"/>
      <c r="K36" s="164"/>
    </row>
    <row r="37" spans="1:11" x14ac:dyDescent="0.25">
      <c r="A37" s="337"/>
      <c r="B37" s="498" t="s">
        <v>104</v>
      </c>
      <c r="C37" s="498"/>
      <c r="D37" s="164"/>
      <c r="E37" s="164"/>
      <c r="F37" s="164"/>
      <c r="G37" s="164"/>
      <c r="H37" s="164"/>
      <c r="I37" s="164"/>
      <c r="J37" s="164"/>
      <c r="K37" s="164"/>
    </row>
    <row r="38" spans="1:11" x14ac:dyDescent="0.25">
      <c r="A38" s="183"/>
      <c r="B38" s="183"/>
      <c r="C38" s="183"/>
      <c r="D38" s="364"/>
      <c r="E38" s="402"/>
      <c r="F38" s="402"/>
      <c r="G38" s="402"/>
      <c r="H38" s="402"/>
      <c r="I38" s="237"/>
      <c r="J38" s="238"/>
      <c r="K38" s="239"/>
    </row>
    <row r="39" spans="1:11" x14ac:dyDescent="0.25">
      <c r="A39" s="183"/>
      <c r="B39" s="183"/>
      <c r="C39" s="183"/>
      <c r="D39" s="403"/>
      <c r="E39" s="403"/>
      <c r="F39" s="402"/>
      <c r="G39" s="533"/>
      <c r="H39" s="403"/>
      <c r="I39" s="403"/>
      <c r="J39" s="403"/>
      <c r="K39" s="403"/>
    </row>
    <row r="40" spans="1:11" ht="15" customHeight="1" x14ac:dyDescent="0.25">
      <c r="A40" s="183"/>
      <c r="B40" s="183"/>
      <c r="C40" s="183"/>
      <c r="D40" s="403"/>
      <c r="E40" s="403"/>
      <c r="F40" s="401"/>
      <c r="G40" s="536"/>
      <c r="H40" s="403"/>
      <c r="I40" s="403"/>
      <c r="J40" s="403"/>
      <c r="K40" s="403"/>
    </row>
    <row r="41" spans="1:11" ht="15" customHeight="1" x14ac:dyDescent="0.25">
      <c r="A41" s="183"/>
      <c r="B41" s="183"/>
      <c r="C41" s="183"/>
      <c r="D41" s="403"/>
      <c r="E41" s="403"/>
      <c r="F41" s="401"/>
      <c r="G41" s="401"/>
      <c r="H41" s="414"/>
      <c r="I41" s="414"/>
      <c r="J41" s="414"/>
      <c r="K41" s="414"/>
    </row>
    <row r="42" spans="1:11" x14ac:dyDescent="0.25">
      <c r="A42" s="183"/>
      <c r="B42" s="183"/>
      <c r="C42" s="183"/>
      <c r="D42" s="362"/>
      <c r="E42" s="360"/>
      <c r="F42" s="401"/>
      <c r="G42" s="401"/>
      <c r="H42" s="6"/>
      <c r="I42" s="243"/>
      <c r="J42" s="244"/>
      <c r="K42" s="241"/>
    </row>
    <row r="43" spans="1:11" x14ac:dyDescent="0.25">
      <c r="A43" s="182"/>
      <c r="B43" s="240"/>
      <c r="C43" s="182"/>
      <c r="D43" s="362"/>
      <c r="E43" s="360"/>
      <c r="F43" s="401"/>
      <c r="G43" s="401"/>
      <c r="H43" s="6"/>
      <c r="I43" s="243"/>
      <c r="J43" s="244"/>
      <c r="K43" s="241"/>
    </row>
    <row r="44" spans="1:11" x14ac:dyDescent="0.25">
      <c r="B44" s="240"/>
      <c r="C44" s="182"/>
      <c r="D44" s="362"/>
      <c r="E44" s="360"/>
      <c r="F44" s="401"/>
      <c r="G44" s="401"/>
      <c r="H44" s="6"/>
      <c r="I44" s="243"/>
      <c r="J44" s="244"/>
      <c r="K44" s="241"/>
    </row>
    <row r="45" spans="1:11" x14ac:dyDescent="0.25">
      <c r="A45" s="182"/>
      <c r="B45" s="240"/>
      <c r="C45" s="182"/>
      <c r="D45" s="362"/>
      <c r="E45" s="360"/>
      <c r="F45" s="401"/>
      <c r="G45" s="401"/>
      <c r="H45" s="403"/>
      <c r="I45" s="403"/>
      <c r="J45" s="403"/>
      <c r="K45" s="403"/>
    </row>
    <row r="46" spans="1:11" x14ac:dyDescent="0.25">
      <c r="A46" s="182"/>
      <c r="B46" s="240"/>
      <c r="C46" s="182"/>
      <c r="D46" s="362"/>
      <c r="E46" s="360"/>
      <c r="F46" s="401"/>
      <c r="G46" s="401"/>
      <c r="H46" s="403"/>
      <c r="I46" s="403"/>
      <c r="J46" s="403"/>
      <c r="K46" s="403"/>
    </row>
    <row r="47" spans="1:11" x14ac:dyDescent="0.25">
      <c r="D47" s="362"/>
      <c r="E47" s="360"/>
      <c r="F47" s="401"/>
      <c r="G47" s="401"/>
      <c r="H47" s="403"/>
      <c r="I47" s="403"/>
      <c r="J47" s="403"/>
      <c r="K47" s="403"/>
    </row>
  </sheetData>
  <mergeCells count="28">
    <mergeCell ref="H45:K45"/>
    <mergeCell ref="H46:K46"/>
    <mergeCell ref="H47:K47"/>
    <mergeCell ref="D39:E39"/>
    <mergeCell ref="H39:K39"/>
    <mergeCell ref="D40:E40"/>
    <mergeCell ref="H40:K40"/>
    <mergeCell ref="D41:E41"/>
    <mergeCell ref="H41:K41"/>
    <mergeCell ref="A1:K1"/>
    <mergeCell ref="A9:E9"/>
    <mergeCell ref="A2:A4"/>
    <mergeCell ref="B2:B4"/>
    <mergeCell ref="C2:C4"/>
    <mergeCell ref="D2:D4"/>
    <mergeCell ref="E2:E4"/>
    <mergeCell ref="F2:F4"/>
    <mergeCell ref="H2:H4"/>
    <mergeCell ref="I2:I4"/>
    <mergeCell ref="J2:J4"/>
    <mergeCell ref="K2:K4"/>
    <mergeCell ref="A31:E31"/>
    <mergeCell ref="B37:C37"/>
    <mergeCell ref="A32:I32"/>
    <mergeCell ref="A34:C34"/>
    <mergeCell ref="B35:C35"/>
    <mergeCell ref="B36:C36"/>
    <mergeCell ref="H34:K34"/>
  </mergeCells>
  <printOptions horizontalCentered="1"/>
  <pageMargins left="0.31496062992125984" right="0.35433070866141736" top="1.1811023622047245" bottom="1.1811023622047245" header="0.31496062992125984" footer="0.31496062992125984"/>
  <pageSetup paperSize="9" scale="63" orientation="portrait" horizontalDpi="4294967293" r:id="rId1"/>
  <headerFooter>
    <oddHeader>&amp;L&amp;G&amp;C&amp;"-,Negrito"&amp;16PREFEITURA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3"/>
  <sheetViews>
    <sheetView view="pageBreakPreview" zoomScaleNormal="84" zoomScaleSheetLayoutView="100" workbookViewId="0">
      <selection sqref="A1:K1"/>
    </sheetView>
  </sheetViews>
  <sheetFormatPr defaultRowHeight="15" x14ac:dyDescent="0.2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3.42578125" style="250" customWidth="1"/>
    <col min="11" max="11" width="9.140625" style="251"/>
    <col min="12" max="12" width="9.140625" style="190"/>
    <col min="13" max="13" width="9.140625" style="191"/>
    <col min="14" max="16384" width="9.140625" style="190"/>
  </cols>
  <sheetData>
    <row r="1" spans="1:13" ht="36" customHeight="1" thickBot="1" x14ac:dyDescent="0.3">
      <c r="A1" s="516" t="s">
        <v>160</v>
      </c>
      <c r="B1" s="517"/>
      <c r="C1" s="517"/>
      <c r="D1" s="517"/>
      <c r="E1" s="517"/>
      <c r="F1" s="517"/>
      <c r="G1" s="517"/>
      <c r="H1" s="517"/>
      <c r="I1" s="517"/>
      <c r="J1" s="517"/>
      <c r="K1" s="518"/>
    </row>
    <row r="2" spans="1:13" s="193" customFormat="1" ht="43.5" customHeight="1" x14ac:dyDescent="0.25">
      <c r="A2" s="494" t="s">
        <v>20</v>
      </c>
      <c r="B2" s="476" t="s">
        <v>21</v>
      </c>
      <c r="C2" s="476" t="s">
        <v>6</v>
      </c>
      <c r="D2" s="476" t="s">
        <v>27</v>
      </c>
      <c r="E2" s="479" t="s">
        <v>22</v>
      </c>
      <c r="F2" s="479" t="s">
        <v>65</v>
      </c>
      <c r="G2" s="192" t="s">
        <v>74</v>
      </c>
      <c r="H2" s="479" t="s">
        <v>23</v>
      </c>
      <c r="I2" s="485" t="s">
        <v>24</v>
      </c>
      <c r="J2" s="488" t="s">
        <v>40</v>
      </c>
      <c r="K2" s="491" t="s">
        <v>25</v>
      </c>
      <c r="M2" s="194"/>
    </row>
    <row r="3" spans="1:13" s="193" customFormat="1" ht="29.25" customHeight="1" x14ac:dyDescent="0.25">
      <c r="A3" s="495"/>
      <c r="B3" s="477"/>
      <c r="C3" s="477"/>
      <c r="D3" s="477"/>
      <c r="E3" s="480"/>
      <c r="F3" s="480"/>
      <c r="G3" s="116">
        <v>20.09</v>
      </c>
      <c r="H3" s="480"/>
      <c r="I3" s="486"/>
      <c r="J3" s="489"/>
      <c r="K3" s="492"/>
      <c r="M3" s="194"/>
    </row>
    <row r="4" spans="1:13" s="193" customFormat="1" ht="9" hidden="1" customHeight="1" x14ac:dyDescent="0.25">
      <c r="A4" s="496"/>
      <c r="B4" s="478"/>
      <c r="C4" s="478"/>
      <c r="D4" s="478"/>
      <c r="E4" s="481"/>
      <c r="F4" s="481"/>
      <c r="G4" s="195">
        <f>(G3/100)+1</f>
        <v>1.2009000000000001</v>
      </c>
      <c r="H4" s="481"/>
      <c r="I4" s="487"/>
      <c r="J4" s="490"/>
      <c r="K4" s="493"/>
      <c r="M4" s="194"/>
    </row>
    <row r="5" spans="1:13" s="193" customFormat="1" x14ac:dyDescent="0.25">
      <c r="A5" s="13" t="s">
        <v>84</v>
      </c>
      <c r="B5" s="196"/>
      <c r="C5" s="196"/>
      <c r="D5" s="369" t="s">
        <v>13</v>
      </c>
      <c r="E5" s="370"/>
      <c r="F5" s="370"/>
      <c r="G5" s="370"/>
      <c r="H5" s="198"/>
      <c r="I5" s="199"/>
      <c r="J5" s="69"/>
      <c r="K5" s="19"/>
      <c r="M5" s="194"/>
    </row>
    <row r="6" spans="1:13" s="193" customFormat="1" x14ac:dyDescent="0.25">
      <c r="A6" s="219" t="s">
        <v>85</v>
      </c>
      <c r="B6" s="211"/>
      <c r="C6" s="211"/>
      <c r="D6" s="220" t="s">
        <v>78</v>
      </c>
      <c r="E6" s="221"/>
      <c r="F6" s="202"/>
      <c r="G6" s="202"/>
      <c r="H6" s="202"/>
      <c r="I6" s="212"/>
      <c r="J6" s="212"/>
      <c r="K6" s="147"/>
      <c r="M6" s="194"/>
    </row>
    <row r="7" spans="1:13" s="193" customFormat="1" ht="26.25" thickBot="1" x14ac:dyDescent="0.3">
      <c r="A7" s="222" t="s">
        <v>31</v>
      </c>
      <c r="B7" s="125" t="s">
        <v>100</v>
      </c>
      <c r="C7" s="200" t="s">
        <v>1</v>
      </c>
      <c r="D7" s="201" t="e">
        <f>LOOKUP(C7,#REF!,#REF!)</f>
        <v>#REF!</v>
      </c>
      <c r="E7" s="200" t="e">
        <f>LOOKUP(C7,#REF!,#REF!)</f>
        <v>#REF!</v>
      </c>
      <c r="F7" s="202"/>
      <c r="G7" s="138">
        <f>F7*G4</f>
        <v>0</v>
      </c>
      <c r="H7" s="202">
        <v>199.95</v>
      </c>
      <c r="I7" s="139">
        <f>G7*H7</f>
        <v>0</v>
      </c>
      <c r="J7" s="212"/>
      <c r="K7" s="132" t="e">
        <f>I7/J28</f>
        <v>#DIV/0!</v>
      </c>
      <c r="M7" s="194">
        <f>F7*0.765</f>
        <v>0</v>
      </c>
    </row>
    <row r="8" spans="1:13" s="193" customFormat="1" ht="15.75" thickBot="1" x14ac:dyDescent="0.3">
      <c r="A8" s="223"/>
      <c r="B8" s="224"/>
      <c r="C8" s="224"/>
      <c r="D8" s="225"/>
      <c r="E8" s="226"/>
      <c r="F8" s="206"/>
      <c r="G8" s="206"/>
      <c r="H8" s="207" t="s">
        <v>73</v>
      </c>
      <c r="I8" s="215"/>
      <c r="J8" s="216">
        <f>SUM(I7:I7)</f>
        <v>0</v>
      </c>
      <c r="K8" s="210" t="e">
        <f>J8/J28</f>
        <v>#DIV/0!</v>
      </c>
      <c r="M8" s="194"/>
    </row>
    <row r="9" spans="1:13" s="193" customFormat="1" x14ac:dyDescent="0.25">
      <c r="A9" s="219" t="s">
        <v>86</v>
      </c>
      <c r="B9" s="211"/>
      <c r="C9" s="211"/>
      <c r="D9" s="220" t="s">
        <v>15</v>
      </c>
      <c r="E9" s="211"/>
      <c r="F9" s="202"/>
      <c r="G9" s="202"/>
      <c r="H9" s="202"/>
      <c r="I9" s="212"/>
      <c r="J9" s="212"/>
      <c r="K9" s="147"/>
      <c r="M9" s="194"/>
    </row>
    <row r="10" spans="1:13" s="193" customFormat="1" ht="38.25" x14ac:dyDescent="0.25">
      <c r="A10" s="222" t="s">
        <v>33</v>
      </c>
      <c r="B10" s="125" t="s">
        <v>100</v>
      </c>
      <c r="C10" s="200" t="s">
        <v>3</v>
      </c>
      <c r="D10" s="201" t="e">
        <f>LOOKUP(C10,#REF!,#REF!)</f>
        <v>#REF!</v>
      </c>
      <c r="E10" s="200" t="e">
        <f>LOOKUP(C10,#REF!,#REF!)</f>
        <v>#REF!</v>
      </c>
      <c r="F10" s="202"/>
      <c r="G10" s="138">
        <f>F10*G4</f>
        <v>0</v>
      </c>
      <c r="H10" s="202">
        <v>199.95</v>
      </c>
      <c r="I10" s="139">
        <f>G10*H10</f>
        <v>0</v>
      </c>
      <c r="J10" s="212"/>
      <c r="K10" s="132" t="e">
        <f>I10/J28</f>
        <v>#DIV/0!</v>
      </c>
      <c r="M10" s="194">
        <f>F10*0.765</f>
        <v>0</v>
      </c>
    </row>
    <row r="11" spans="1:13" s="193" customFormat="1" ht="76.5" x14ac:dyDescent="0.25">
      <c r="A11" s="222" t="s">
        <v>34</v>
      </c>
      <c r="B11" s="127" t="s">
        <v>101</v>
      </c>
      <c r="C11" s="205">
        <v>94274</v>
      </c>
      <c r="D11" s="227" t="s">
        <v>5</v>
      </c>
      <c r="E11" s="200" t="s">
        <v>0</v>
      </c>
      <c r="F11" s="202"/>
      <c r="G11" s="138">
        <f>F11*G4</f>
        <v>0</v>
      </c>
      <c r="H11" s="202">
        <v>2</v>
      </c>
      <c r="I11" s="139">
        <f>G11*H11</f>
        <v>0</v>
      </c>
      <c r="J11" s="212"/>
      <c r="K11" s="132" t="e">
        <f>I11/J28</f>
        <v>#DIV/0!</v>
      </c>
      <c r="M11" s="194">
        <f>F11*0.765</f>
        <v>0</v>
      </c>
    </row>
    <row r="12" spans="1:13" s="193" customFormat="1" ht="76.5" x14ac:dyDescent="0.25">
      <c r="A12" s="222" t="s">
        <v>35</v>
      </c>
      <c r="B12" s="127" t="s">
        <v>101</v>
      </c>
      <c r="C12" s="205">
        <v>94275</v>
      </c>
      <c r="D12" s="227" t="s">
        <v>166</v>
      </c>
      <c r="E12" s="200" t="s">
        <v>0</v>
      </c>
      <c r="F12" s="202"/>
      <c r="G12" s="138">
        <f>F12*G4</f>
        <v>0</v>
      </c>
      <c r="H12" s="202">
        <v>12</v>
      </c>
      <c r="I12" s="139">
        <f>G12*H12</f>
        <v>0</v>
      </c>
      <c r="J12" s="212"/>
      <c r="K12" s="132" t="e">
        <f>I12/J28</f>
        <v>#DIV/0!</v>
      </c>
      <c r="M12" s="194">
        <f>F12*0.765</f>
        <v>0</v>
      </c>
    </row>
    <row r="13" spans="1:13" s="193" customFormat="1" ht="26.25" thickBot="1" x14ac:dyDescent="0.3">
      <c r="A13" s="222" t="s">
        <v>36</v>
      </c>
      <c r="B13" s="125" t="s">
        <v>100</v>
      </c>
      <c r="C13" s="200" t="s">
        <v>2</v>
      </c>
      <c r="D13" s="201" t="e">
        <f>LOOKUP(C13,#REF!,#REF!)</f>
        <v>#REF!</v>
      </c>
      <c r="E13" s="200" t="e">
        <f>LOOKUP(C13,#REF!,#REF!)</f>
        <v>#REF!</v>
      </c>
      <c r="F13" s="202"/>
      <c r="G13" s="138">
        <f>F13*G4</f>
        <v>0</v>
      </c>
      <c r="H13" s="202">
        <f>(H11+H12)*0.3*0.11</f>
        <v>0.46200000000000002</v>
      </c>
      <c r="I13" s="139">
        <f>G13*H13</f>
        <v>0</v>
      </c>
      <c r="J13" s="212"/>
      <c r="K13" s="132" t="e">
        <f>I13/J28</f>
        <v>#DIV/0!</v>
      </c>
      <c r="M13" s="194">
        <f>F13*0.765</f>
        <v>0</v>
      </c>
    </row>
    <row r="14" spans="1:13" s="193" customFormat="1" ht="15.75" thickBot="1" x14ac:dyDescent="0.3">
      <c r="A14" s="223"/>
      <c r="B14" s="224"/>
      <c r="C14" s="224"/>
      <c r="D14" s="225"/>
      <c r="E14" s="226"/>
      <c r="F14" s="206"/>
      <c r="G14" s="206"/>
      <c r="H14" s="207" t="s">
        <v>61</v>
      </c>
      <c r="I14" s="215"/>
      <c r="J14" s="216">
        <f>SUM(I10:I13)</f>
        <v>0</v>
      </c>
      <c r="K14" s="210" t="e">
        <f>J14/J28</f>
        <v>#DIV/0!</v>
      </c>
      <c r="M14" s="194"/>
    </row>
    <row r="15" spans="1:13" s="193" customFormat="1" x14ac:dyDescent="0.25">
      <c r="A15" s="219" t="s">
        <v>87</v>
      </c>
      <c r="B15" s="211"/>
      <c r="C15" s="211"/>
      <c r="D15" s="228" t="s">
        <v>16</v>
      </c>
      <c r="E15" s="211"/>
      <c r="F15" s="202"/>
      <c r="G15" s="202"/>
      <c r="H15" s="202"/>
      <c r="I15" s="212"/>
      <c r="J15" s="212"/>
      <c r="K15" s="147"/>
      <c r="M15" s="194"/>
    </row>
    <row r="16" spans="1:13" s="193" customFormat="1" ht="25.5" x14ac:dyDescent="0.25">
      <c r="A16" s="222" t="s">
        <v>37</v>
      </c>
      <c r="B16" s="127" t="s">
        <v>101</v>
      </c>
      <c r="C16" s="200">
        <v>72947</v>
      </c>
      <c r="D16" s="201" t="s">
        <v>69</v>
      </c>
      <c r="E16" s="200" t="s">
        <v>9</v>
      </c>
      <c r="F16" s="202"/>
      <c r="G16" s="138">
        <f>F16*G4</f>
        <v>0</v>
      </c>
      <c r="H16" s="229">
        <v>14.96</v>
      </c>
      <c r="I16" s="139">
        <f>G16*H16</f>
        <v>0</v>
      </c>
      <c r="J16" s="212"/>
      <c r="K16" s="132" t="e">
        <f>I16/J28</f>
        <v>#DIV/0!</v>
      </c>
      <c r="M16" s="194">
        <f>F16*0.765</f>
        <v>0</v>
      </c>
    </row>
    <row r="17" spans="1:14" s="193" customFormat="1" ht="25.5" x14ac:dyDescent="0.25">
      <c r="A17" s="222" t="s">
        <v>38</v>
      </c>
      <c r="B17" s="125" t="s">
        <v>100</v>
      </c>
      <c r="C17" s="200" t="s">
        <v>11</v>
      </c>
      <c r="D17" s="201" t="e">
        <f>LOOKUP(C17,#REF!,#REF!)</f>
        <v>#REF!</v>
      </c>
      <c r="E17" s="200" t="e">
        <f>LOOKUP(C17,#REF!,#REF!)</f>
        <v>#REF!</v>
      </c>
      <c r="F17" s="202"/>
      <c r="G17" s="138">
        <f>F17*G4</f>
        <v>0</v>
      </c>
      <c r="H17" s="229">
        <v>0.32</v>
      </c>
      <c r="I17" s="139">
        <f t="shared" ref="I17:I26" si="0">G17*H17</f>
        <v>0</v>
      </c>
      <c r="J17" s="212"/>
      <c r="K17" s="132" t="e">
        <f>I17/J28</f>
        <v>#DIV/0!</v>
      </c>
      <c r="M17" s="194">
        <f>F17*0.765</f>
        <v>0</v>
      </c>
    </row>
    <row r="18" spans="1:14" s="193" customFormat="1" x14ac:dyDescent="0.25">
      <c r="A18" s="222" t="s">
        <v>39</v>
      </c>
      <c r="B18" s="125" t="s">
        <v>100</v>
      </c>
      <c r="C18" s="213" t="s">
        <v>19</v>
      </c>
      <c r="D18" s="201" t="e">
        <f>LOOKUP(C18,#REF!,#REF!)</f>
        <v>#REF!</v>
      </c>
      <c r="E18" s="200" t="e">
        <f>LOOKUP(C18,#REF!,#REF!)</f>
        <v>#REF!</v>
      </c>
      <c r="F18" s="202"/>
      <c r="G18" s="138">
        <f>F18*G4</f>
        <v>0</v>
      </c>
      <c r="H18" s="229">
        <f>2*3</f>
        <v>6</v>
      </c>
      <c r="I18" s="139">
        <f t="shared" si="0"/>
        <v>0</v>
      </c>
      <c r="J18" s="212"/>
      <c r="K18" s="132" t="e">
        <f>I18/J28</f>
        <v>#DIV/0!</v>
      </c>
      <c r="M18" s="194">
        <f>F18*0.765</f>
        <v>0</v>
      </c>
    </row>
    <row r="19" spans="1:14" s="193" customFormat="1" ht="25.5" x14ac:dyDescent="0.25">
      <c r="A19" s="222" t="s">
        <v>110</v>
      </c>
      <c r="B19" s="125" t="s">
        <v>100</v>
      </c>
      <c r="C19" s="213" t="s">
        <v>95</v>
      </c>
      <c r="D19" s="201" t="e">
        <f>LOOKUP(C19,#REF!,#REF!)</f>
        <v>#REF!</v>
      </c>
      <c r="E19" s="200" t="e">
        <f>LOOKUP(C19,#REF!,#REF!)</f>
        <v>#REF!</v>
      </c>
      <c r="F19" s="202"/>
      <c r="G19" s="138">
        <f>F19*G4</f>
        <v>0</v>
      </c>
      <c r="H19" s="229">
        <f>2*0.5</f>
        <v>1</v>
      </c>
      <c r="I19" s="139">
        <f t="shared" si="0"/>
        <v>0</v>
      </c>
      <c r="J19" s="212"/>
      <c r="K19" s="132" t="e">
        <f>I19/J28</f>
        <v>#DIV/0!</v>
      </c>
      <c r="M19" s="194"/>
    </row>
    <row r="20" spans="1:14" s="183" customFormat="1" ht="25.5" x14ac:dyDescent="0.25">
      <c r="A20" s="222" t="s">
        <v>111</v>
      </c>
      <c r="B20" s="127" t="s">
        <v>101</v>
      </c>
      <c r="C20" s="213" t="s">
        <v>105</v>
      </c>
      <c r="D20" s="214" t="s">
        <v>57</v>
      </c>
      <c r="E20" s="218" t="s">
        <v>12</v>
      </c>
      <c r="F20" s="202"/>
      <c r="G20" s="138">
        <f>F20*G4</f>
        <v>0</v>
      </c>
      <c r="H20" s="229">
        <v>2</v>
      </c>
      <c r="I20" s="139">
        <f t="shared" si="0"/>
        <v>0</v>
      </c>
      <c r="J20" s="212"/>
      <c r="K20" s="132" t="e">
        <f>I20/J28</f>
        <v>#DIV/0!</v>
      </c>
      <c r="M20" s="194">
        <f>F20*0.765</f>
        <v>0</v>
      </c>
      <c r="N20" s="183">
        <v>2</v>
      </c>
    </row>
    <row r="21" spans="1:14" s="183" customFormat="1" ht="30" customHeight="1" x14ac:dyDescent="0.25">
      <c r="A21" s="222" t="s">
        <v>112</v>
      </c>
      <c r="B21" s="125" t="s">
        <v>100</v>
      </c>
      <c r="C21" s="200" t="s">
        <v>10</v>
      </c>
      <c r="D21" s="201" t="s">
        <v>58</v>
      </c>
      <c r="E21" s="200" t="e">
        <f>LOOKUP(C21,#REF!,#REF!)</f>
        <v>#REF!</v>
      </c>
      <c r="F21" s="202"/>
      <c r="G21" s="138">
        <f>F21*G4</f>
        <v>0</v>
      </c>
      <c r="H21" s="202">
        <v>12.5</v>
      </c>
      <c r="I21" s="139">
        <f t="shared" si="0"/>
        <v>0</v>
      </c>
      <c r="J21" s="212"/>
      <c r="K21" s="132" t="e">
        <f t="shared" ref="K21:K26" si="1">I21/$J$28</f>
        <v>#DIV/0!</v>
      </c>
      <c r="M21" s="194">
        <f>F21*0.765</f>
        <v>0</v>
      </c>
    </row>
    <row r="22" spans="1:14" s="352" customFormat="1" ht="30" customHeight="1" x14ac:dyDescent="0.25">
      <c r="A22" s="222" t="s">
        <v>113</v>
      </c>
      <c r="B22" s="125" t="s">
        <v>100</v>
      </c>
      <c r="C22" s="128" t="s">
        <v>96</v>
      </c>
      <c r="D22" s="201" t="e">
        <f>LOOKUP(C22,#REF!,#REF!)</f>
        <v>#REF!</v>
      </c>
      <c r="E22" s="200" t="e">
        <f>LOOKUP(C22,#REF!,#REF!)</f>
        <v>#REF!</v>
      </c>
      <c r="F22" s="202"/>
      <c r="G22" s="138">
        <f>F22*$G$4</f>
        <v>0</v>
      </c>
      <c r="H22" s="353">
        <f>1.13*N20</f>
        <v>2.2599999999999998</v>
      </c>
      <c r="I22" s="139">
        <f t="shared" si="0"/>
        <v>0</v>
      </c>
      <c r="J22" s="212"/>
      <c r="K22" s="132" t="e">
        <f t="shared" si="1"/>
        <v>#DIV/0!</v>
      </c>
      <c r="M22" s="194"/>
    </row>
    <row r="23" spans="1:14" s="352" customFormat="1" ht="38.25" x14ac:dyDescent="0.25">
      <c r="A23" s="222" t="s">
        <v>114</v>
      </c>
      <c r="B23" s="125" t="s">
        <v>100</v>
      </c>
      <c r="C23" s="128" t="s">
        <v>97</v>
      </c>
      <c r="D23" s="201" t="e">
        <f>LOOKUP(C23,#REF!,#REF!)</f>
        <v>#REF!</v>
      </c>
      <c r="E23" s="200" t="e">
        <f>LOOKUP(C23,#REF!,#REF!)</f>
        <v>#REF!</v>
      </c>
      <c r="F23" s="202"/>
      <c r="G23" s="138">
        <f>F23*$G$4</f>
        <v>0</v>
      </c>
      <c r="H23" s="353">
        <f>1.13*N20</f>
        <v>2.2599999999999998</v>
      </c>
      <c r="I23" s="139">
        <f t="shared" si="0"/>
        <v>0</v>
      </c>
      <c r="J23" s="212"/>
      <c r="K23" s="132" t="e">
        <f t="shared" si="1"/>
        <v>#DIV/0!</v>
      </c>
      <c r="M23" s="194"/>
    </row>
    <row r="24" spans="1:14" s="352" customFormat="1" ht="30" customHeight="1" x14ac:dyDescent="0.25">
      <c r="A24" s="222" t="s">
        <v>122</v>
      </c>
      <c r="B24" s="125" t="s">
        <v>100</v>
      </c>
      <c r="C24" s="128" t="s">
        <v>94</v>
      </c>
      <c r="D24" s="201" t="e">
        <f>LOOKUP(C24,#REF!,#REF!)</f>
        <v>#REF!</v>
      </c>
      <c r="E24" s="200" t="e">
        <f>LOOKUP(C24,#REF!,#REF!)</f>
        <v>#REF!</v>
      </c>
      <c r="F24" s="202"/>
      <c r="G24" s="138">
        <f>F24*$G$4</f>
        <v>0</v>
      </c>
      <c r="H24" s="353">
        <f>0.26*N20</f>
        <v>0.52</v>
      </c>
      <c r="I24" s="139">
        <f t="shared" si="0"/>
        <v>0</v>
      </c>
      <c r="J24" s="212"/>
      <c r="K24" s="132" t="e">
        <f t="shared" si="1"/>
        <v>#DIV/0!</v>
      </c>
      <c r="M24" s="194"/>
    </row>
    <row r="25" spans="1:14" s="352" customFormat="1" ht="30" customHeight="1" x14ac:dyDescent="0.25">
      <c r="A25" s="222" t="s">
        <v>123</v>
      </c>
      <c r="B25" s="125" t="s">
        <v>100</v>
      </c>
      <c r="C25" s="128" t="s">
        <v>92</v>
      </c>
      <c r="D25" s="201" t="e">
        <f>LOOKUP(C25,#REF!,#REF!)</f>
        <v>#REF!</v>
      </c>
      <c r="E25" s="200" t="e">
        <f>LOOKUP(C25,#REF!,#REF!)</f>
        <v>#REF!</v>
      </c>
      <c r="F25" s="202"/>
      <c r="G25" s="138">
        <f>F25*$G$4</f>
        <v>0</v>
      </c>
      <c r="H25" s="353">
        <f>0.97*N20</f>
        <v>1.94</v>
      </c>
      <c r="I25" s="139">
        <f t="shared" si="0"/>
        <v>0</v>
      </c>
      <c r="J25" s="212"/>
      <c r="K25" s="132" t="e">
        <f t="shared" si="1"/>
        <v>#DIV/0!</v>
      </c>
      <c r="M25" s="194"/>
    </row>
    <row r="26" spans="1:14" s="352" customFormat="1" ht="30" customHeight="1" thickBot="1" x14ac:dyDescent="0.3">
      <c r="A26" s="222" t="s">
        <v>124</v>
      </c>
      <c r="B26" s="125" t="s">
        <v>100</v>
      </c>
      <c r="C26" s="128" t="s">
        <v>93</v>
      </c>
      <c r="D26" s="201" t="e">
        <f>LOOKUP(C26,#REF!,#REF!)</f>
        <v>#REF!</v>
      </c>
      <c r="E26" s="200" t="e">
        <f>LOOKUP(C26,#REF!,#REF!)</f>
        <v>#REF!</v>
      </c>
      <c r="F26" s="202"/>
      <c r="G26" s="138">
        <f>F26*$G$4</f>
        <v>0</v>
      </c>
      <c r="H26" s="353">
        <f>0.97*N20</f>
        <v>1.94</v>
      </c>
      <c r="I26" s="139">
        <f t="shared" si="0"/>
        <v>0</v>
      </c>
      <c r="J26" s="212"/>
      <c r="K26" s="132" t="e">
        <f t="shared" si="1"/>
        <v>#DIV/0!</v>
      </c>
      <c r="M26" s="194"/>
    </row>
    <row r="27" spans="1:14" s="183" customFormat="1" ht="15.75" customHeight="1" thickBot="1" x14ac:dyDescent="0.3">
      <c r="A27" s="519"/>
      <c r="B27" s="520"/>
      <c r="C27" s="520"/>
      <c r="D27" s="520"/>
      <c r="E27" s="521"/>
      <c r="F27" s="206"/>
      <c r="G27" s="206"/>
      <c r="H27" s="207" t="s">
        <v>62</v>
      </c>
      <c r="I27" s="215"/>
      <c r="J27" s="216">
        <f>SUM(I16:I26)</f>
        <v>0</v>
      </c>
      <c r="K27" s="210" t="e">
        <f>J27/J28</f>
        <v>#DIV/0!</v>
      </c>
      <c r="M27" s="189"/>
    </row>
    <row r="28" spans="1:14" s="193" customFormat="1" ht="15.75" thickBot="1" x14ac:dyDescent="0.3">
      <c r="A28" s="504" t="s">
        <v>127</v>
      </c>
      <c r="B28" s="505"/>
      <c r="C28" s="505"/>
      <c r="D28" s="505"/>
      <c r="E28" s="505"/>
      <c r="F28" s="505"/>
      <c r="G28" s="505"/>
      <c r="H28" s="505"/>
      <c r="I28" s="506"/>
      <c r="J28" s="230">
        <f>SUM(J5:J27)</f>
        <v>0</v>
      </c>
      <c r="K28" s="40" t="e">
        <f>K8+K14+K27</f>
        <v>#DIV/0!</v>
      </c>
      <c r="M28" s="194"/>
    </row>
    <row r="29" spans="1:14" s="193" customFormat="1" x14ac:dyDescent="0.25">
      <c r="A29" s="231"/>
      <c r="B29" s="231"/>
      <c r="C29" s="231"/>
      <c r="D29" s="232"/>
      <c r="E29" s="231"/>
      <c r="F29" s="231"/>
      <c r="G29" s="231"/>
      <c r="H29" s="231"/>
      <c r="I29" s="233"/>
      <c r="J29" s="234"/>
      <c r="K29" s="235"/>
      <c r="M29" s="194"/>
    </row>
    <row r="30" spans="1:14" s="193" customFormat="1" x14ac:dyDescent="0.25">
      <c r="A30" s="528" t="s">
        <v>64</v>
      </c>
      <c r="B30" s="529"/>
      <c r="C30" s="529"/>
      <c r="D30" s="336"/>
      <c r="E30" s="164"/>
      <c r="F30" s="164"/>
      <c r="G30" s="164"/>
      <c r="H30" s="499" t="s">
        <v>167</v>
      </c>
      <c r="I30" s="499"/>
      <c r="J30" s="499"/>
      <c r="K30" s="499"/>
      <c r="M30" s="194"/>
    </row>
    <row r="31" spans="1:14" s="193" customFormat="1" x14ac:dyDescent="0.25">
      <c r="A31" s="336"/>
      <c r="B31" s="497" t="s">
        <v>102</v>
      </c>
      <c r="C31" s="497"/>
      <c r="D31" s="164"/>
      <c r="E31" s="164"/>
      <c r="F31" s="164"/>
      <c r="G31" s="164"/>
      <c r="H31" s="164"/>
      <c r="I31" s="164"/>
      <c r="J31" s="164"/>
      <c r="K31" s="164"/>
      <c r="M31" s="194"/>
    </row>
    <row r="32" spans="1:14" s="193" customFormat="1" x14ac:dyDescent="0.25">
      <c r="A32" s="336"/>
      <c r="B32" s="498" t="s">
        <v>103</v>
      </c>
      <c r="C32" s="498"/>
      <c r="D32" s="164"/>
      <c r="E32" s="164"/>
      <c r="F32" s="164"/>
      <c r="G32" s="164"/>
      <c r="H32" s="164"/>
      <c r="I32" s="164"/>
      <c r="J32" s="164"/>
      <c r="K32" s="164"/>
      <c r="M32" s="194"/>
    </row>
    <row r="33" spans="1:13" s="193" customFormat="1" x14ac:dyDescent="0.25">
      <c r="A33" s="337"/>
      <c r="B33" s="498" t="s">
        <v>104</v>
      </c>
      <c r="C33" s="498"/>
      <c r="D33" s="164"/>
      <c r="E33" s="164"/>
      <c r="F33" s="164"/>
      <c r="G33" s="164"/>
      <c r="H33" s="164"/>
      <c r="I33" s="164"/>
      <c r="J33" s="164"/>
      <c r="K33" s="164"/>
      <c r="M33" s="194"/>
    </row>
    <row r="34" spans="1:13" s="193" customFormat="1" x14ac:dyDescent="0.25">
      <c r="A34" s="183"/>
      <c r="B34" s="183"/>
      <c r="C34" s="183"/>
      <c r="D34" s="364"/>
      <c r="E34" s="402"/>
      <c r="F34" s="402"/>
      <c r="G34" s="402"/>
      <c r="H34" s="402"/>
      <c r="I34" s="237"/>
      <c r="J34" s="238"/>
      <c r="K34" s="239"/>
      <c r="M34" s="194"/>
    </row>
    <row r="35" spans="1:13" s="193" customFormat="1" x14ac:dyDescent="0.25">
      <c r="A35" s="183"/>
      <c r="B35" s="183"/>
      <c r="C35" s="183"/>
      <c r="D35" s="403"/>
      <c r="E35" s="403"/>
      <c r="F35" s="402"/>
      <c r="G35" s="533"/>
      <c r="H35" s="403"/>
      <c r="I35" s="403"/>
      <c r="J35" s="403"/>
      <c r="K35" s="403"/>
      <c r="M35" s="194"/>
    </row>
    <row r="36" spans="1:13" ht="15" customHeight="1" x14ac:dyDescent="0.25">
      <c r="A36" s="182"/>
      <c r="B36" s="240"/>
      <c r="C36" s="182"/>
      <c r="D36" s="403"/>
      <c r="E36" s="403"/>
      <c r="F36" s="401"/>
      <c r="G36" s="536"/>
      <c r="H36" s="403"/>
      <c r="I36" s="403"/>
      <c r="J36" s="403"/>
      <c r="K36" s="403"/>
    </row>
    <row r="37" spans="1:13" ht="15" customHeight="1" x14ac:dyDescent="0.25">
      <c r="A37" s="182"/>
      <c r="B37" s="240"/>
      <c r="C37" s="182"/>
      <c r="D37" s="403"/>
      <c r="E37" s="403"/>
      <c r="F37" s="401"/>
      <c r="G37" s="401"/>
      <c r="H37" s="414"/>
      <c r="I37" s="414"/>
      <c r="J37" s="414"/>
      <c r="K37" s="414"/>
    </row>
    <row r="38" spans="1:13" x14ac:dyDescent="0.25">
      <c r="A38" s="182"/>
      <c r="B38" s="240"/>
      <c r="C38" s="182"/>
      <c r="D38" s="362"/>
      <c r="E38" s="360"/>
      <c r="F38" s="401"/>
      <c r="G38" s="401"/>
      <c r="H38" s="6"/>
      <c r="I38" s="243"/>
      <c r="J38" s="244"/>
      <c r="K38" s="241"/>
      <c r="L38" s="6"/>
    </row>
    <row r="39" spans="1:13" x14ac:dyDescent="0.25">
      <c r="A39" s="182"/>
      <c r="B39" s="240"/>
      <c r="C39" s="182"/>
      <c r="D39" s="362"/>
      <c r="E39" s="360"/>
      <c r="F39" s="401"/>
      <c r="G39" s="401"/>
      <c r="H39" s="6"/>
      <c r="I39" s="243"/>
      <c r="J39" s="244"/>
      <c r="K39" s="241"/>
      <c r="L39" s="6"/>
    </row>
    <row r="40" spans="1:13" x14ac:dyDescent="0.25">
      <c r="B40" s="240"/>
      <c r="C40" s="182"/>
      <c r="D40" s="362"/>
      <c r="E40" s="360"/>
      <c r="F40" s="401"/>
      <c r="G40" s="401"/>
      <c r="H40" s="6"/>
      <c r="I40" s="243"/>
      <c r="J40" s="244"/>
      <c r="K40" s="241"/>
      <c r="L40" s="6"/>
    </row>
    <row r="41" spans="1:13" x14ac:dyDescent="0.25">
      <c r="A41" s="182"/>
      <c r="B41" s="240"/>
      <c r="C41" s="182"/>
      <c r="D41" s="362"/>
      <c r="E41" s="360"/>
      <c r="F41" s="401"/>
      <c r="G41" s="401"/>
      <c r="H41" s="403"/>
      <c r="I41" s="403"/>
      <c r="J41" s="403"/>
      <c r="K41" s="403"/>
      <c r="L41" s="6"/>
    </row>
    <row r="42" spans="1:13" x14ac:dyDescent="0.25">
      <c r="A42" s="182"/>
      <c r="B42" s="240"/>
      <c r="C42" s="182"/>
      <c r="D42" s="362"/>
      <c r="E42" s="360"/>
      <c r="F42" s="401"/>
      <c r="G42" s="401"/>
      <c r="H42" s="403"/>
      <c r="I42" s="403"/>
      <c r="J42" s="403"/>
      <c r="K42" s="403"/>
      <c r="L42" s="6"/>
    </row>
    <row r="43" spans="1:13" x14ac:dyDescent="0.25">
      <c r="D43" s="362"/>
      <c r="E43" s="360"/>
      <c r="F43" s="401"/>
      <c r="G43" s="401"/>
      <c r="H43" s="403"/>
      <c r="I43" s="403"/>
      <c r="J43" s="403"/>
      <c r="K43" s="403"/>
    </row>
  </sheetData>
  <mergeCells count="27">
    <mergeCell ref="H41:K41"/>
    <mergeCell ref="H42:K42"/>
    <mergeCell ref="H43:K43"/>
    <mergeCell ref="D35:E35"/>
    <mergeCell ref="H35:K35"/>
    <mergeCell ref="D36:E36"/>
    <mergeCell ref="H36:K36"/>
    <mergeCell ref="D37:E37"/>
    <mergeCell ref="H37:K37"/>
    <mergeCell ref="A1:K1"/>
    <mergeCell ref="A2:A4"/>
    <mergeCell ref="B2:B4"/>
    <mergeCell ref="C2:C4"/>
    <mergeCell ref="D2:D4"/>
    <mergeCell ref="E2:E4"/>
    <mergeCell ref="F2:F4"/>
    <mergeCell ref="H2:H4"/>
    <mergeCell ref="I2:I4"/>
    <mergeCell ref="J2:J4"/>
    <mergeCell ref="K2:K4"/>
    <mergeCell ref="B33:C33"/>
    <mergeCell ref="A27:E27"/>
    <mergeCell ref="A28:I28"/>
    <mergeCell ref="A30:C30"/>
    <mergeCell ref="B31:C31"/>
    <mergeCell ref="B32:C32"/>
    <mergeCell ref="H30:K30"/>
  </mergeCells>
  <printOptions horizontalCentered="1"/>
  <pageMargins left="0.31496062992125984" right="0.35433070866141736" top="1.1811023622047245" bottom="1.1811023622047245" header="0.31496062992125984" footer="0.31496062992125984"/>
  <pageSetup paperSize="9" scale="68" orientation="portrait" horizontalDpi="4294967293" r:id="rId1"/>
  <headerFooter>
    <oddHeader>&amp;L&amp;G&amp;C&amp;"-,Negrito"&amp;18PREFEITURA MUNICIPAL DE POTIM
&amp;16“TERRA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7"/>
  <sheetViews>
    <sheetView view="pageBreakPreview" zoomScale="120" zoomScaleNormal="100" zoomScaleSheetLayoutView="120" workbookViewId="0">
      <selection activeCell="B2" sqref="B2:F2"/>
    </sheetView>
  </sheetViews>
  <sheetFormatPr defaultRowHeight="15" x14ac:dyDescent="0.25"/>
  <cols>
    <col min="2" max="2" width="40.28515625" style="12" customWidth="1"/>
    <col min="3" max="5" width="12.140625" customWidth="1"/>
    <col min="6" max="6" width="12.28515625" style="43" customWidth="1"/>
    <col min="7" max="7" width="15.28515625" bestFit="1" customWidth="1"/>
  </cols>
  <sheetData>
    <row r="1" spans="1:7" ht="21.75" thickBot="1" x14ac:dyDescent="0.4">
      <c r="A1" s="450" t="s">
        <v>70</v>
      </c>
      <c r="B1" s="451"/>
      <c r="C1" s="451"/>
      <c r="D1" s="451"/>
      <c r="E1" s="451"/>
      <c r="F1" s="452"/>
    </row>
    <row r="2" spans="1:7" ht="15.75" thickBot="1" x14ac:dyDescent="0.3">
      <c r="A2" s="169" t="s">
        <v>49</v>
      </c>
      <c r="B2" s="453" t="s">
        <v>142</v>
      </c>
      <c r="C2" s="454"/>
      <c r="D2" s="454"/>
      <c r="E2" s="454"/>
      <c r="F2" s="455"/>
    </row>
    <row r="3" spans="1:7" ht="79.5" customHeight="1" thickBot="1" x14ac:dyDescent="0.3">
      <c r="A3" s="169" t="s">
        <v>50</v>
      </c>
      <c r="B3" s="456" t="s">
        <v>141</v>
      </c>
      <c r="C3" s="457"/>
      <c r="D3" s="457"/>
      <c r="E3" s="457"/>
      <c r="F3" s="458"/>
    </row>
    <row r="4" spans="1:7" x14ac:dyDescent="0.25">
      <c r="A4" s="438" t="s">
        <v>51</v>
      </c>
      <c r="B4" s="439"/>
      <c r="C4" s="459" t="s">
        <v>52</v>
      </c>
      <c r="D4" s="459" t="s">
        <v>53</v>
      </c>
      <c r="E4" s="459" t="s">
        <v>54</v>
      </c>
      <c r="F4" s="461" t="s">
        <v>55</v>
      </c>
    </row>
    <row r="5" spans="1:7" x14ac:dyDescent="0.25">
      <c r="A5" s="440"/>
      <c r="B5" s="441"/>
      <c r="C5" s="460"/>
      <c r="D5" s="460"/>
      <c r="E5" s="460"/>
      <c r="F5" s="462"/>
    </row>
    <row r="6" spans="1:7" x14ac:dyDescent="0.25">
      <c r="A6" s="440" t="s">
        <v>56</v>
      </c>
      <c r="B6" s="441"/>
      <c r="C6" s="464">
        <v>30</v>
      </c>
      <c r="D6" s="464">
        <v>60</v>
      </c>
      <c r="E6" s="464">
        <v>90</v>
      </c>
      <c r="F6" s="462"/>
    </row>
    <row r="7" spans="1:7" x14ac:dyDescent="0.25">
      <c r="A7" s="442"/>
      <c r="B7" s="443"/>
      <c r="C7" s="465"/>
      <c r="D7" s="465"/>
      <c r="E7" s="465"/>
      <c r="F7" s="463"/>
    </row>
    <row r="8" spans="1:7" x14ac:dyDescent="0.25">
      <c r="A8" s="415" t="str">
        <f>'Resumo obras Bloquete'!A4</f>
        <v>Planilha Orçamentária - Canteiro Obra</v>
      </c>
      <c r="B8" s="416"/>
      <c r="C8" s="165"/>
      <c r="D8" s="165"/>
      <c r="E8" s="165"/>
      <c r="F8" s="447"/>
    </row>
    <row r="9" spans="1:7" x14ac:dyDescent="0.25">
      <c r="A9" s="417"/>
      <c r="B9" s="418"/>
      <c r="C9" s="166">
        <v>0.35</v>
      </c>
      <c r="D9" s="166">
        <v>0.35</v>
      </c>
      <c r="E9" s="166">
        <v>0.3</v>
      </c>
      <c r="F9" s="448"/>
    </row>
    <row r="10" spans="1:7" x14ac:dyDescent="0.25">
      <c r="A10" s="417"/>
      <c r="B10" s="418"/>
      <c r="C10" s="167">
        <f>F8*C9</f>
        <v>0</v>
      </c>
      <c r="D10" s="167">
        <f>D9*F8</f>
        <v>0</v>
      </c>
      <c r="E10" s="167">
        <f>E9*F8</f>
        <v>0</v>
      </c>
      <c r="F10" s="448"/>
    </row>
    <row r="11" spans="1:7" x14ac:dyDescent="0.25">
      <c r="A11" s="419"/>
      <c r="B11" s="420"/>
      <c r="C11" s="168"/>
      <c r="D11" s="168"/>
      <c r="E11" s="168"/>
      <c r="F11" s="449"/>
      <c r="G11" s="7">
        <f>SUM(C10:E10)</f>
        <v>0</v>
      </c>
    </row>
    <row r="12" spans="1:7" ht="15" customHeight="1" x14ac:dyDescent="0.25">
      <c r="A12" s="415" t="str">
        <f>'Resumo obras Bloquete'!A5</f>
        <v xml:space="preserve"> Planilha Orçamentária - Rua Ceará</v>
      </c>
      <c r="B12" s="416"/>
      <c r="C12" s="53"/>
      <c r="D12" s="53"/>
      <c r="E12" s="53"/>
      <c r="F12" s="421"/>
    </row>
    <row r="13" spans="1:7" x14ac:dyDescent="0.25">
      <c r="A13" s="417"/>
      <c r="B13" s="418"/>
      <c r="C13" s="54">
        <v>1</v>
      </c>
      <c r="D13" s="54"/>
      <c r="E13" s="54"/>
      <c r="F13" s="422"/>
    </row>
    <row r="14" spans="1:7" x14ac:dyDescent="0.25">
      <c r="A14" s="417"/>
      <c r="B14" s="418"/>
      <c r="C14" s="55">
        <f>F12*C13</f>
        <v>0</v>
      </c>
      <c r="D14" s="55"/>
      <c r="E14" s="55"/>
      <c r="F14" s="422"/>
    </row>
    <row r="15" spans="1:7" x14ac:dyDescent="0.25">
      <c r="A15" s="419"/>
      <c r="B15" s="420"/>
      <c r="C15" s="56"/>
      <c r="D15" s="56"/>
      <c r="E15" s="56"/>
      <c r="F15" s="423"/>
    </row>
    <row r="16" spans="1:7" ht="15" customHeight="1" x14ac:dyDescent="0.25">
      <c r="A16" s="415" t="str">
        <f>'Resumo obras Bloquete'!A6</f>
        <v>Planilha Orçamentária -  Rua Rio de Janeiro</v>
      </c>
      <c r="B16" s="416"/>
      <c r="C16" s="53"/>
      <c r="D16" s="53"/>
      <c r="E16" s="53"/>
      <c r="F16" s="421"/>
    </row>
    <row r="17" spans="1:6" x14ac:dyDescent="0.25">
      <c r="A17" s="417"/>
      <c r="B17" s="418"/>
      <c r="C17" s="54">
        <v>1</v>
      </c>
      <c r="D17" s="54"/>
      <c r="E17" s="54"/>
      <c r="F17" s="422"/>
    </row>
    <row r="18" spans="1:6" x14ac:dyDescent="0.25">
      <c r="A18" s="417"/>
      <c r="B18" s="418"/>
      <c r="C18" s="55">
        <f>C17*F16</f>
        <v>0</v>
      </c>
      <c r="D18" s="55"/>
      <c r="E18" s="55"/>
      <c r="F18" s="422"/>
    </row>
    <row r="19" spans="1:6" x14ac:dyDescent="0.25">
      <c r="A19" s="419"/>
      <c r="B19" s="420"/>
      <c r="C19" s="56"/>
      <c r="D19" s="56"/>
      <c r="E19" s="56"/>
      <c r="F19" s="423"/>
    </row>
    <row r="20" spans="1:6" ht="15" customHeight="1" x14ac:dyDescent="0.25">
      <c r="A20" s="415" t="str">
        <f>'Resumo obras Bloquete'!A7</f>
        <v>Planilha Orçamentária -  Av. Benedito Sebe</v>
      </c>
      <c r="B20" s="416"/>
      <c r="C20" s="53"/>
      <c r="D20" s="53"/>
      <c r="E20" s="53"/>
      <c r="F20" s="421"/>
    </row>
    <row r="21" spans="1:6" x14ac:dyDescent="0.25">
      <c r="A21" s="417"/>
      <c r="B21" s="418"/>
      <c r="C21" s="54"/>
      <c r="D21" s="54">
        <v>1</v>
      </c>
      <c r="E21" s="54"/>
      <c r="F21" s="422"/>
    </row>
    <row r="22" spans="1:6" x14ac:dyDescent="0.25">
      <c r="A22" s="417"/>
      <c r="B22" s="418"/>
      <c r="C22" s="55"/>
      <c r="D22" s="55">
        <f>D21*F20</f>
        <v>0</v>
      </c>
      <c r="E22" s="55"/>
      <c r="F22" s="422"/>
    </row>
    <row r="23" spans="1:6" x14ac:dyDescent="0.25">
      <c r="A23" s="419"/>
      <c r="B23" s="420"/>
      <c r="C23" s="56"/>
      <c r="D23" s="56"/>
      <c r="E23" s="56"/>
      <c r="F23" s="423"/>
    </row>
    <row r="24" spans="1:6" ht="15" customHeight="1" x14ac:dyDescent="0.25">
      <c r="A24" s="415" t="str">
        <f>'Resumo obras Bloquete'!A8</f>
        <v>Planilha Prçamentária - Av. Gumercindo Teberga Alves</v>
      </c>
      <c r="B24" s="416"/>
      <c r="C24" s="53"/>
      <c r="D24" s="53"/>
      <c r="E24" s="53"/>
      <c r="F24" s="421"/>
    </row>
    <row r="25" spans="1:6" x14ac:dyDescent="0.25">
      <c r="A25" s="417"/>
      <c r="B25" s="418"/>
      <c r="C25" s="54">
        <v>1</v>
      </c>
      <c r="D25" s="54"/>
      <c r="E25" s="54"/>
      <c r="F25" s="422"/>
    </row>
    <row r="26" spans="1:6" x14ac:dyDescent="0.25">
      <c r="A26" s="417"/>
      <c r="B26" s="418"/>
      <c r="C26" s="55">
        <f>C25*F24</f>
        <v>0</v>
      </c>
      <c r="D26" s="55"/>
      <c r="E26" s="55"/>
      <c r="F26" s="422"/>
    </row>
    <row r="27" spans="1:6" x14ac:dyDescent="0.25">
      <c r="A27" s="419"/>
      <c r="B27" s="420"/>
      <c r="C27" s="56"/>
      <c r="D27" s="56"/>
      <c r="E27" s="56"/>
      <c r="F27" s="423"/>
    </row>
    <row r="28" spans="1:6" ht="15" customHeight="1" x14ac:dyDescent="0.25">
      <c r="A28" s="415" t="str">
        <f>'Resumo obras Bloquete'!A9</f>
        <v>Planilha Orçamentária -  Rua João C. Santos</v>
      </c>
      <c r="B28" s="416"/>
      <c r="C28" s="53"/>
      <c r="D28" s="53"/>
      <c r="E28" s="53"/>
      <c r="F28" s="421"/>
    </row>
    <row r="29" spans="1:6" x14ac:dyDescent="0.25">
      <c r="A29" s="417"/>
      <c r="B29" s="418"/>
      <c r="C29" s="54"/>
      <c r="D29" s="54">
        <v>1</v>
      </c>
      <c r="E29" s="54"/>
      <c r="F29" s="422"/>
    </row>
    <row r="30" spans="1:6" x14ac:dyDescent="0.25">
      <c r="A30" s="417"/>
      <c r="B30" s="418"/>
      <c r="C30" s="55"/>
      <c r="D30" s="55">
        <f>D29*F28</f>
        <v>0</v>
      </c>
      <c r="E30" s="55"/>
      <c r="F30" s="422"/>
    </row>
    <row r="31" spans="1:6" x14ac:dyDescent="0.25">
      <c r="A31" s="419"/>
      <c r="B31" s="420"/>
      <c r="C31" s="56"/>
      <c r="D31" s="56"/>
      <c r="E31" s="56"/>
      <c r="F31" s="423"/>
    </row>
    <row r="32" spans="1:6" ht="15" customHeight="1" x14ac:dyDescent="0.25">
      <c r="A32" s="415" t="str">
        <f>'Resumo obras Bloquete'!A10</f>
        <v>Planilha Orçamentária - Rua Geraldo V. Mendes</v>
      </c>
      <c r="B32" s="416"/>
      <c r="C32" s="53"/>
      <c r="D32" s="53"/>
      <c r="E32" s="53"/>
      <c r="F32" s="421"/>
    </row>
    <row r="33" spans="1:6" x14ac:dyDescent="0.25">
      <c r="A33" s="417"/>
      <c r="B33" s="418"/>
      <c r="C33" s="54"/>
      <c r="D33" s="54">
        <v>1</v>
      </c>
      <c r="E33" s="54"/>
      <c r="F33" s="422"/>
    </row>
    <row r="34" spans="1:6" x14ac:dyDescent="0.25">
      <c r="A34" s="417"/>
      <c r="B34" s="418"/>
      <c r="C34" s="55"/>
      <c r="D34" s="55">
        <f>D33*F32</f>
        <v>0</v>
      </c>
      <c r="E34" s="55"/>
      <c r="F34" s="422"/>
    </row>
    <row r="35" spans="1:6" x14ac:dyDescent="0.25">
      <c r="A35" s="419"/>
      <c r="B35" s="420"/>
      <c r="C35" s="56"/>
      <c r="D35" s="56"/>
      <c r="E35" s="56"/>
      <c r="F35" s="423"/>
    </row>
    <row r="36" spans="1:6" ht="15" customHeight="1" x14ac:dyDescent="0.25">
      <c r="A36" s="415" t="str">
        <f>'Resumo obras Bloquete'!A11</f>
        <v>Planilha Orçamentária - Rua Orlando C. Castro</v>
      </c>
      <c r="B36" s="416"/>
      <c r="C36" s="53"/>
      <c r="D36" s="53"/>
      <c r="E36" s="53"/>
      <c r="F36" s="421"/>
    </row>
    <row r="37" spans="1:6" x14ac:dyDescent="0.25">
      <c r="A37" s="417"/>
      <c r="B37" s="418"/>
      <c r="C37" s="54"/>
      <c r="D37" s="54">
        <v>1</v>
      </c>
      <c r="E37" s="54"/>
      <c r="F37" s="422"/>
    </row>
    <row r="38" spans="1:6" x14ac:dyDescent="0.25">
      <c r="A38" s="417"/>
      <c r="B38" s="418"/>
      <c r="C38" s="55"/>
      <c r="D38" s="55">
        <f>D37*F36</f>
        <v>0</v>
      </c>
      <c r="E38" s="55"/>
      <c r="F38" s="422"/>
    </row>
    <row r="39" spans="1:6" x14ac:dyDescent="0.25">
      <c r="A39" s="419"/>
      <c r="B39" s="420"/>
      <c r="C39" s="56"/>
      <c r="D39" s="56"/>
      <c r="E39" s="56"/>
      <c r="F39" s="423"/>
    </row>
    <row r="40" spans="1:6" ht="15" customHeight="1" x14ac:dyDescent="0.25">
      <c r="A40" s="415" t="str">
        <f>'Resumo obras Bloquete'!A12</f>
        <v>Planilha Orçamentária - Rua Jose V. do Carmo</v>
      </c>
      <c r="B40" s="416"/>
      <c r="C40" s="53"/>
      <c r="D40" s="53"/>
      <c r="E40" s="53"/>
      <c r="F40" s="421"/>
    </row>
    <row r="41" spans="1:6" x14ac:dyDescent="0.25">
      <c r="A41" s="417"/>
      <c r="B41" s="418"/>
      <c r="C41" s="54"/>
      <c r="D41" s="54">
        <v>1</v>
      </c>
      <c r="E41" s="54"/>
      <c r="F41" s="422"/>
    </row>
    <row r="42" spans="1:6" x14ac:dyDescent="0.25">
      <c r="A42" s="417"/>
      <c r="B42" s="418"/>
      <c r="C42" s="55"/>
      <c r="D42" s="55">
        <f>D41*F40</f>
        <v>0</v>
      </c>
      <c r="E42" s="55"/>
      <c r="F42" s="422"/>
    </row>
    <row r="43" spans="1:6" x14ac:dyDescent="0.25">
      <c r="A43" s="419"/>
      <c r="B43" s="420"/>
      <c r="C43" s="56"/>
      <c r="D43" s="56"/>
      <c r="E43" s="56"/>
      <c r="F43" s="423"/>
    </row>
    <row r="44" spans="1:6" ht="15" customHeight="1" x14ac:dyDescent="0.25">
      <c r="A44" s="415" t="str">
        <f>'Resumo obras Bloquete'!A13</f>
        <v xml:space="preserve"> Planilha Orçamentária - Avenida Juvenal Antunes de Proença</v>
      </c>
      <c r="B44" s="416"/>
      <c r="C44" s="53"/>
      <c r="D44" s="53"/>
      <c r="E44" s="53"/>
      <c r="F44" s="421"/>
    </row>
    <row r="45" spans="1:6" x14ac:dyDescent="0.25">
      <c r="A45" s="417"/>
      <c r="B45" s="418"/>
      <c r="C45" s="54"/>
      <c r="D45" s="54">
        <v>1</v>
      </c>
      <c r="E45" s="54"/>
      <c r="F45" s="422"/>
    </row>
    <row r="46" spans="1:6" x14ac:dyDescent="0.25">
      <c r="A46" s="417"/>
      <c r="B46" s="418"/>
      <c r="C46" s="55"/>
      <c r="D46" s="55">
        <f>D45*F44</f>
        <v>0</v>
      </c>
      <c r="E46" s="55"/>
      <c r="F46" s="422"/>
    </row>
    <row r="47" spans="1:6" x14ac:dyDescent="0.25">
      <c r="A47" s="419"/>
      <c r="B47" s="420"/>
      <c r="C47" s="56"/>
      <c r="D47" s="56"/>
      <c r="E47" s="56"/>
      <c r="F47" s="423"/>
    </row>
    <row r="48" spans="1:6" ht="15" customHeight="1" x14ac:dyDescent="0.25">
      <c r="A48" s="415" t="str">
        <f>'Resumo obras Bloquete'!A14</f>
        <v>Planilha Orçamentária - Rua Ivone Rodrigues</v>
      </c>
      <c r="B48" s="416"/>
      <c r="C48" s="53"/>
      <c r="D48" s="53"/>
      <c r="E48" s="53"/>
      <c r="F48" s="421"/>
    </row>
    <row r="49" spans="1:6" x14ac:dyDescent="0.25">
      <c r="A49" s="417"/>
      <c r="B49" s="418"/>
      <c r="C49" s="54"/>
      <c r="D49" s="54">
        <v>1</v>
      </c>
      <c r="E49" s="54"/>
      <c r="F49" s="422"/>
    </row>
    <row r="50" spans="1:6" x14ac:dyDescent="0.25">
      <c r="A50" s="417"/>
      <c r="B50" s="418"/>
      <c r="C50" s="55"/>
      <c r="D50" s="55">
        <f>D49*F48</f>
        <v>0</v>
      </c>
      <c r="E50" s="55"/>
      <c r="F50" s="422"/>
    </row>
    <row r="51" spans="1:6" x14ac:dyDescent="0.25">
      <c r="A51" s="419"/>
      <c r="B51" s="420"/>
      <c r="C51" s="56"/>
      <c r="D51" s="56"/>
      <c r="E51" s="56"/>
      <c r="F51" s="423"/>
    </row>
    <row r="52" spans="1:6" ht="15" customHeight="1" x14ac:dyDescent="0.25">
      <c r="A52" s="415" t="str">
        <f>'Resumo obras Bloquete'!A15</f>
        <v>Planilha Orçamentária - Rua José Maria Soarez</v>
      </c>
      <c r="B52" s="416"/>
      <c r="C52" s="53"/>
      <c r="D52" s="53"/>
      <c r="E52" s="53"/>
      <c r="F52" s="421"/>
    </row>
    <row r="53" spans="1:6" x14ac:dyDescent="0.25">
      <c r="A53" s="417"/>
      <c r="B53" s="418"/>
      <c r="C53" s="54"/>
      <c r="D53" s="54"/>
      <c r="E53" s="54">
        <v>1</v>
      </c>
      <c r="F53" s="422"/>
    </row>
    <row r="54" spans="1:6" x14ac:dyDescent="0.25">
      <c r="A54" s="417"/>
      <c r="B54" s="418"/>
      <c r="C54" s="55"/>
      <c r="D54" s="55"/>
      <c r="E54" s="55">
        <f>E53*F52</f>
        <v>0</v>
      </c>
      <c r="F54" s="422"/>
    </row>
    <row r="55" spans="1:6" x14ac:dyDescent="0.25">
      <c r="A55" s="419"/>
      <c r="B55" s="420"/>
      <c r="C55" s="56"/>
      <c r="D55" s="56"/>
      <c r="E55" s="56"/>
      <c r="F55" s="423"/>
    </row>
    <row r="56" spans="1:6" ht="15" customHeight="1" x14ac:dyDescent="0.25">
      <c r="A56" s="415" t="str">
        <f>'Resumo obras Bloquete'!A16</f>
        <v>Planilha Orçamentária - Rua Sebastião Lucio Rodrigues</v>
      </c>
      <c r="B56" s="416"/>
      <c r="C56" s="53"/>
      <c r="D56" s="53"/>
      <c r="E56" s="53"/>
      <c r="F56" s="421"/>
    </row>
    <row r="57" spans="1:6" x14ac:dyDescent="0.25">
      <c r="A57" s="417"/>
      <c r="B57" s="418"/>
      <c r="C57" s="54"/>
      <c r="D57" s="54"/>
      <c r="E57" s="54">
        <v>1</v>
      </c>
      <c r="F57" s="422"/>
    </row>
    <row r="58" spans="1:6" x14ac:dyDescent="0.25">
      <c r="A58" s="417"/>
      <c r="B58" s="418"/>
      <c r="C58" s="55"/>
      <c r="D58" s="55"/>
      <c r="E58" s="55">
        <f>E57*F56</f>
        <v>0</v>
      </c>
      <c r="F58" s="422"/>
    </row>
    <row r="59" spans="1:6" x14ac:dyDescent="0.25">
      <c r="A59" s="419"/>
      <c r="B59" s="420"/>
      <c r="C59" s="56"/>
      <c r="D59" s="56"/>
      <c r="E59" s="56"/>
      <c r="F59" s="423"/>
    </row>
    <row r="60" spans="1:6" ht="15" customHeight="1" x14ac:dyDescent="0.25">
      <c r="A60" s="415" t="str">
        <f>'Resumo obras Bloquete'!A17</f>
        <v>Planilha Orçamentária - Avenida Maria Amélia de Castro</v>
      </c>
      <c r="B60" s="416"/>
      <c r="C60" s="53"/>
      <c r="D60" s="53"/>
      <c r="E60" s="53"/>
      <c r="F60" s="421"/>
    </row>
    <row r="61" spans="1:6" x14ac:dyDescent="0.25">
      <c r="A61" s="417"/>
      <c r="B61" s="418"/>
      <c r="C61" s="54"/>
      <c r="D61" s="54">
        <v>1</v>
      </c>
      <c r="E61" s="54"/>
      <c r="F61" s="422"/>
    </row>
    <row r="62" spans="1:6" x14ac:dyDescent="0.25">
      <c r="A62" s="417"/>
      <c r="B62" s="418"/>
      <c r="C62" s="55"/>
      <c r="D62" s="55">
        <f>D61*F60</f>
        <v>0</v>
      </c>
      <c r="E62" s="55"/>
      <c r="F62" s="422"/>
    </row>
    <row r="63" spans="1:6" x14ac:dyDescent="0.25">
      <c r="A63" s="419"/>
      <c r="B63" s="420"/>
      <c r="C63" s="56"/>
      <c r="D63" s="56"/>
      <c r="E63" s="56"/>
      <c r="F63" s="423"/>
    </row>
    <row r="64" spans="1:6" ht="15" customHeight="1" x14ac:dyDescent="0.25">
      <c r="A64" s="415" t="str">
        <f>'Resumo obras Bloquete'!A18</f>
        <v>Planilha Orçamentária - Avenida Antônio Felipe dos Santos Filho</v>
      </c>
      <c r="B64" s="416"/>
      <c r="C64" s="53"/>
      <c r="D64" s="53"/>
      <c r="E64" s="53"/>
      <c r="F64" s="421"/>
    </row>
    <row r="65" spans="1:6" x14ac:dyDescent="0.25">
      <c r="A65" s="417"/>
      <c r="B65" s="418"/>
      <c r="C65" s="54"/>
      <c r="D65" s="54"/>
      <c r="E65" s="54">
        <v>1</v>
      </c>
      <c r="F65" s="422"/>
    </row>
    <row r="66" spans="1:6" x14ac:dyDescent="0.25">
      <c r="A66" s="417"/>
      <c r="B66" s="418"/>
      <c r="C66" s="55"/>
      <c r="D66" s="55"/>
      <c r="E66" s="55">
        <f>E65*F64</f>
        <v>0</v>
      </c>
      <c r="F66" s="422"/>
    </row>
    <row r="67" spans="1:6" x14ac:dyDescent="0.25">
      <c r="A67" s="419"/>
      <c r="B67" s="420"/>
      <c r="C67" s="56"/>
      <c r="D67" s="56"/>
      <c r="E67" s="56"/>
      <c r="F67" s="423"/>
    </row>
    <row r="68" spans="1:6" ht="15" customHeight="1" x14ac:dyDescent="0.25">
      <c r="A68" s="415" t="str">
        <f>'Resumo obras Bloquete'!A19</f>
        <v>Planilha Orçamentária - Avenida Zulmira Proença e Rua Silveiras</v>
      </c>
      <c r="B68" s="416"/>
      <c r="C68" s="53"/>
      <c r="D68" s="53"/>
      <c r="E68" s="53"/>
      <c r="F68" s="421"/>
    </row>
    <row r="69" spans="1:6" x14ac:dyDescent="0.25">
      <c r="A69" s="417"/>
      <c r="B69" s="418"/>
      <c r="C69" s="54"/>
      <c r="D69" s="54"/>
      <c r="E69" s="54">
        <v>1</v>
      </c>
      <c r="F69" s="422"/>
    </row>
    <row r="70" spans="1:6" x14ac:dyDescent="0.25">
      <c r="A70" s="417"/>
      <c r="B70" s="418"/>
      <c r="C70" s="55"/>
      <c r="D70" s="55"/>
      <c r="E70" s="55">
        <f>E69*F68</f>
        <v>0</v>
      </c>
      <c r="F70" s="422"/>
    </row>
    <row r="71" spans="1:6" x14ac:dyDescent="0.25">
      <c r="A71" s="419"/>
      <c r="B71" s="420"/>
      <c r="C71" s="56"/>
      <c r="D71" s="56"/>
      <c r="E71" s="56"/>
      <c r="F71" s="423"/>
    </row>
    <row r="72" spans="1:6" ht="15" customHeight="1" x14ac:dyDescent="0.25">
      <c r="A72" s="415" t="str">
        <f>'Resumo obras Bloquete'!A20</f>
        <v>Planilha Orçamentária - Rua Francisco Teodoro dos Santos</v>
      </c>
      <c r="B72" s="416"/>
      <c r="C72" s="53"/>
      <c r="D72" s="53"/>
      <c r="E72" s="53"/>
      <c r="F72" s="421"/>
    </row>
    <row r="73" spans="1:6" x14ac:dyDescent="0.25">
      <c r="A73" s="417"/>
      <c r="B73" s="418"/>
      <c r="C73" s="54"/>
      <c r="D73" s="54"/>
      <c r="E73" s="54">
        <v>1</v>
      </c>
      <c r="F73" s="422"/>
    </row>
    <row r="74" spans="1:6" x14ac:dyDescent="0.25">
      <c r="A74" s="417"/>
      <c r="B74" s="418"/>
      <c r="C74" s="55"/>
      <c r="D74" s="55"/>
      <c r="E74" s="55">
        <f>E73*F72</f>
        <v>0</v>
      </c>
      <c r="F74" s="422"/>
    </row>
    <row r="75" spans="1:6" x14ac:dyDescent="0.25">
      <c r="A75" s="419"/>
      <c r="B75" s="420"/>
      <c r="C75" s="56"/>
      <c r="D75" s="56"/>
      <c r="E75" s="56"/>
      <c r="F75" s="423"/>
    </row>
    <row r="76" spans="1:6" x14ac:dyDescent="0.25">
      <c r="A76" s="415" t="str">
        <f>'Resumo obras Bloquete'!A21</f>
        <v>Planilha Orçamentária - Rua Elzira Aparecida de Lima Val Verde Chad</v>
      </c>
      <c r="B76" s="416"/>
      <c r="C76" s="53"/>
      <c r="D76" s="53"/>
      <c r="E76" s="53"/>
      <c r="F76" s="421"/>
    </row>
    <row r="77" spans="1:6" x14ac:dyDescent="0.25">
      <c r="A77" s="417"/>
      <c r="B77" s="418"/>
      <c r="C77" s="54">
        <v>1</v>
      </c>
      <c r="D77" s="54"/>
      <c r="E77" s="379"/>
      <c r="F77" s="422"/>
    </row>
    <row r="78" spans="1:6" x14ac:dyDescent="0.25">
      <c r="A78" s="417"/>
      <c r="B78" s="418"/>
      <c r="C78" s="55">
        <f>C77*F76</f>
        <v>0</v>
      </c>
      <c r="D78" s="55"/>
      <c r="E78" s="379"/>
      <c r="F78" s="422"/>
    </row>
    <row r="79" spans="1:6" x14ac:dyDescent="0.25">
      <c r="A79" s="419"/>
      <c r="B79" s="420"/>
      <c r="C79" s="56"/>
      <c r="D79" s="56"/>
      <c r="E79" s="56"/>
      <c r="F79" s="423"/>
    </row>
    <row r="80" spans="1:6" x14ac:dyDescent="0.25">
      <c r="A80" s="415" t="str">
        <f>'Resumo obras Bloquete'!A22</f>
        <v>Planilha Orçamentária - Avenida Espírito Santo</v>
      </c>
      <c r="B80" s="416"/>
      <c r="C80" s="53"/>
      <c r="D80" s="53"/>
      <c r="E80" s="53"/>
      <c r="F80" s="421"/>
    </row>
    <row r="81" spans="1:7" x14ac:dyDescent="0.25">
      <c r="A81" s="417"/>
      <c r="B81" s="418"/>
      <c r="C81" s="54">
        <v>1</v>
      </c>
      <c r="D81" s="54"/>
      <c r="E81" s="54">
        <v>1</v>
      </c>
      <c r="F81" s="422"/>
    </row>
    <row r="82" spans="1:7" x14ac:dyDescent="0.25">
      <c r="A82" s="417"/>
      <c r="B82" s="418"/>
      <c r="C82" s="55"/>
      <c r="D82" s="55"/>
      <c r="E82" s="55">
        <f>E81*F80</f>
        <v>0</v>
      </c>
      <c r="F82" s="422"/>
    </row>
    <row r="83" spans="1:7" x14ac:dyDescent="0.25">
      <c r="A83" s="419"/>
      <c r="B83" s="420"/>
      <c r="C83" s="56"/>
      <c r="D83" s="56"/>
      <c r="E83" s="56"/>
      <c r="F83" s="423"/>
    </row>
    <row r="84" spans="1:7" x14ac:dyDescent="0.25">
      <c r="A84" s="427"/>
      <c r="B84" s="428"/>
      <c r="C84" s="428"/>
      <c r="D84" s="428"/>
      <c r="E84" s="428"/>
      <c r="F84" s="429"/>
    </row>
    <row r="85" spans="1:7" x14ac:dyDescent="0.25">
      <c r="A85" s="415" t="s">
        <v>76</v>
      </c>
      <c r="B85" s="430"/>
      <c r="C85" s="435" t="e">
        <f>C90/F90</f>
        <v>#DIV/0!</v>
      </c>
      <c r="D85" s="435" t="e">
        <f>D90/F90</f>
        <v>#DIV/0!</v>
      </c>
      <c r="E85" s="435" t="e">
        <f>E90/F90</f>
        <v>#DIV/0!</v>
      </c>
      <c r="F85" s="435"/>
    </row>
    <row r="86" spans="1:7" x14ac:dyDescent="0.25">
      <c r="A86" s="431"/>
      <c r="B86" s="432"/>
      <c r="C86" s="436"/>
      <c r="D86" s="436"/>
      <c r="E86" s="436"/>
      <c r="F86" s="436"/>
    </row>
    <row r="87" spans="1:7" x14ac:dyDescent="0.25">
      <c r="A87" s="431"/>
      <c r="B87" s="432"/>
      <c r="C87" s="436"/>
      <c r="D87" s="436"/>
      <c r="E87" s="436"/>
      <c r="F87" s="436"/>
    </row>
    <row r="88" spans="1:7" x14ac:dyDescent="0.25">
      <c r="A88" s="431"/>
      <c r="B88" s="432"/>
      <c r="C88" s="436"/>
      <c r="D88" s="436"/>
      <c r="E88" s="436"/>
      <c r="F88" s="436"/>
    </row>
    <row r="89" spans="1:7" x14ac:dyDescent="0.25">
      <c r="A89" s="433"/>
      <c r="B89" s="434"/>
      <c r="C89" s="437"/>
      <c r="D89" s="437"/>
      <c r="E89" s="437"/>
      <c r="F89" s="437"/>
    </row>
    <row r="90" spans="1:7" x14ac:dyDescent="0.25">
      <c r="A90" s="438" t="s">
        <v>71</v>
      </c>
      <c r="B90" s="439"/>
      <c r="C90" s="444">
        <f>C10+C14+C18+C22+C30+C34+C38+C42+C46+C50+C54+C58+C62+C66+C70+C74+C82+C26+C78</f>
        <v>0</v>
      </c>
      <c r="D90" s="444">
        <f>D10+D14+D18+D22+D30+D34+D38+D42+D46+D50+D54+D58+D62+D66+D70+D74+D78+D82+D26</f>
        <v>0</v>
      </c>
      <c r="E90" s="444">
        <f>E10+E14+E18+E22+E30+E34+E38+E42+E46+E50+E54+E58+E62+E66+E70+E74+E78+E82+E26</f>
        <v>0</v>
      </c>
      <c r="F90" s="424"/>
    </row>
    <row r="91" spans="1:7" x14ac:dyDescent="0.25">
      <c r="A91" s="440"/>
      <c r="B91" s="441"/>
      <c r="C91" s="445"/>
      <c r="D91" s="445"/>
      <c r="E91" s="445"/>
      <c r="F91" s="425"/>
    </row>
    <row r="92" spans="1:7" x14ac:dyDescent="0.25">
      <c r="A92" s="440"/>
      <c r="B92" s="441"/>
      <c r="C92" s="445"/>
      <c r="D92" s="445"/>
      <c r="E92" s="445"/>
      <c r="F92" s="425"/>
      <c r="G92" s="7">
        <f>F90/3</f>
        <v>0</v>
      </c>
    </row>
    <row r="93" spans="1:7" x14ac:dyDescent="0.25">
      <c r="A93" s="442"/>
      <c r="B93" s="443"/>
      <c r="C93" s="446"/>
      <c r="D93" s="446"/>
      <c r="E93" s="446"/>
      <c r="F93" s="426"/>
    </row>
    <row r="94" spans="1:7" x14ac:dyDescent="0.25">
      <c r="A94" s="176"/>
      <c r="B94" s="177"/>
      <c r="C94" s="178"/>
      <c r="D94" s="178"/>
      <c r="E94" s="178"/>
      <c r="F94" s="179"/>
    </row>
    <row r="95" spans="1:7" x14ac:dyDescent="0.25">
      <c r="D95" s="466"/>
      <c r="E95" s="466"/>
      <c r="F95" s="466"/>
      <c r="G95" s="357">
        <f>SUM(C90:E93)</f>
        <v>0</v>
      </c>
    </row>
    <row r="96" spans="1:7" x14ac:dyDescent="0.25">
      <c r="C96" s="466" t="s">
        <v>167</v>
      </c>
      <c r="D96" s="466"/>
      <c r="E96" s="466"/>
      <c r="F96" s="466"/>
      <c r="G96" s="119">
        <f>G95-F90</f>
        <v>0</v>
      </c>
    </row>
    <row r="98" spans="1:8" ht="15.75" thickBot="1" x14ac:dyDescent="0.3"/>
    <row r="99" spans="1:8" x14ac:dyDescent="0.25">
      <c r="B99" s="365"/>
      <c r="C99" s="372"/>
      <c r="D99" s="411"/>
      <c r="E99" s="411"/>
      <c r="F99" s="411"/>
      <c r="G99" s="358"/>
      <c r="H99" s="358"/>
    </row>
    <row r="100" spans="1:8" x14ac:dyDescent="0.25">
      <c r="B100" s="366"/>
      <c r="C100" s="94"/>
      <c r="D100" s="403"/>
      <c r="E100" s="403"/>
      <c r="F100" s="403"/>
      <c r="G100" s="372"/>
      <c r="H100" s="372"/>
    </row>
    <row r="101" spans="1:8" x14ac:dyDescent="0.25">
      <c r="B101" s="366"/>
      <c r="C101" s="94"/>
      <c r="D101" s="414"/>
      <c r="E101" s="414"/>
      <c r="F101" s="414"/>
      <c r="G101" s="373"/>
      <c r="H101" s="373"/>
    </row>
    <row r="102" spans="1:8" x14ac:dyDescent="0.25">
      <c r="A102" s="362"/>
      <c r="B102" s="360"/>
      <c r="C102" s="361"/>
      <c r="D102" s="361"/>
      <c r="E102" s="6"/>
      <c r="F102" s="243"/>
      <c r="G102" s="244"/>
      <c r="H102" s="241"/>
    </row>
    <row r="103" spans="1:8" x14ac:dyDescent="0.25">
      <c r="A103" s="362"/>
      <c r="B103" s="360"/>
      <c r="C103" s="361"/>
      <c r="D103" s="361"/>
      <c r="E103" s="6"/>
      <c r="F103" s="243"/>
      <c r="G103" s="244"/>
      <c r="H103" s="241"/>
    </row>
    <row r="104" spans="1:8" ht="15.75" thickBot="1" x14ac:dyDescent="0.3">
      <c r="A104" s="362"/>
      <c r="B104" s="360"/>
      <c r="C104" s="361"/>
      <c r="D104" s="361"/>
      <c r="E104" s="6"/>
      <c r="F104" s="243"/>
      <c r="G104" s="244"/>
      <c r="H104" s="241"/>
    </row>
    <row r="105" spans="1:8" x14ac:dyDescent="0.25">
      <c r="A105" s="362"/>
      <c r="B105" s="360"/>
      <c r="C105" s="361"/>
      <c r="D105" s="411"/>
      <c r="E105" s="411"/>
      <c r="F105" s="411"/>
      <c r="G105" s="358"/>
      <c r="H105" s="358"/>
    </row>
    <row r="106" spans="1:8" x14ac:dyDescent="0.25">
      <c r="A106" s="362"/>
      <c r="B106" s="360"/>
      <c r="C106" s="361"/>
      <c r="D106" s="403"/>
      <c r="E106" s="403"/>
      <c r="F106" s="403"/>
      <c r="G106" s="372"/>
      <c r="H106" s="372"/>
    </row>
    <row r="107" spans="1:8" x14ac:dyDescent="0.25">
      <c r="A107" s="248"/>
      <c r="B107" s="246"/>
      <c r="C107" s="247"/>
      <c r="D107" s="403"/>
      <c r="E107" s="403"/>
      <c r="F107" s="403"/>
      <c r="G107" s="372"/>
      <c r="H107" s="372"/>
    </row>
  </sheetData>
  <mergeCells count="69">
    <mergeCell ref="D105:F105"/>
    <mergeCell ref="D106:F106"/>
    <mergeCell ref="D107:F107"/>
    <mergeCell ref="D95:F95"/>
    <mergeCell ref="D99:F99"/>
    <mergeCell ref="D100:F100"/>
    <mergeCell ref="D101:F101"/>
    <mergeCell ref="C96:F96"/>
    <mergeCell ref="F8:F11"/>
    <mergeCell ref="A1:F1"/>
    <mergeCell ref="B2:F2"/>
    <mergeCell ref="B3:F3"/>
    <mergeCell ref="A4:B5"/>
    <mergeCell ref="C4:C5"/>
    <mergeCell ref="D4:D5"/>
    <mergeCell ref="E4:E5"/>
    <mergeCell ref="F4:F7"/>
    <mergeCell ref="A6:B7"/>
    <mergeCell ref="C6:C7"/>
    <mergeCell ref="D6:D7"/>
    <mergeCell ref="E6:E7"/>
    <mergeCell ref="A8:B11"/>
    <mergeCell ref="A12:B15"/>
    <mergeCell ref="F12:F15"/>
    <mergeCell ref="A16:B19"/>
    <mergeCell ref="F16:F19"/>
    <mergeCell ref="A20:B23"/>
    <mergeCell ref="F20:F23"/>
    <mergeCell ref="A24:B27"/>
    <mergeCell ref="F24:F27"/>
    <mergeCell ref="A28:B31"/>
    <mergeCell ref="F28:F31"/>
    <mergeCell ref="A32:B35"/>
    <mergeCell ref="F32:F35"/>
    <mergeCell ref="A36:B39"/>
    <mergeCell ref="F36:F39"/>
    <mergeCell ref="A40:B43"/>
    <mergeCell ref="F40:F43"/>
    <mergeCell ref="A44:B47"/>
    <mergeCell ref="F44:F47"/>
    <mergeCell ref="A48:B51"/>
    <mergeCell ref="F48:F51"/>
    <mergeCell ref="A52:B55"/>
    <mergeCell ref="F52:F55"/>
    <mergeCell ref="A56:B59"/>
    <mergeCell ref="F56:F59"/>
    <mergeCell ref="F76:F79"/>
    <mergeCell ref="A60:B63"/>
    <mergeCell ref="F60:F63"/>
    <mergeCell ref="A64:B67"/>
    <mergeCell ref="F64:F67"/>
    <mergeCell ref="A68:B71"/>
    <mergeCell ref="F68:F71"/>
    <mergeCell ref="A80:B83"/>
    <mergeCell ref="F80:F83"/>
    <mergeCell ref="F90:F93"/>
    <mergeCell ref="A72:B75"/>
    <mergeCell ref="F72:F75"/>
    <mergeCell ref="A84:F84"/>
    <mergeCell ref="A85:B89"/>
    <mergeCell ref="C85:C89"/>
    <mergeCell ref="D85:D89"/>
    <mergeCell ref="E85:E89"/>
    <mergeCell ref="F85:F89"/>
    <mergeCell ref="A90:B93"/>
    <mergeCell ref="C90:C93"/>
    <mergeCell ref="D90:D93"/>
    <mergeCell ref="E90:E93"/>
    <mergeCell ref="A76:B79"/>
  </mergeCells>
  <printOptions horizontalCentered="1"/>
  <pageMargins left="0.39370078740157483" right="0.39370078740157483" top="1.1811023622047245" bottom="1.1811023622047245" header="0.31496062992125984" footer="0.31496062992125984"/>
  <pageSetup paperSize="9" scale="97" fitToHeight="0"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rowBreaks count="2" manualBreakCount="2">
    <brk id="42" max="5" man="1"/>
    <brk id="79" max="5" man="1"/>
  </rowBreaks>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3"/>
  <sheetViews>
    <sheetView view="pageBreakPreview" zoomScaleNormal="84" zoomScaleSheetLayoutView="100" workbookViewId="0">
      <selection sqref="A1:K1"/>
    </sheetView>
  </sheetViews>
  <sheetFormatPr defaultRowHeight="15" x14ac:dyDescent="0.2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3.42578125" style="250" customWidth="1"/>
    <col min="11" max="11" width="9.140625" style="251"/>
    <col min="12" max="12" width="9.140625" style="190"/>
    <col min="13" max="13" width="9.140625" style="191"/>
    <col min="14" max="16384" width="9.140625" style="190"/>
  </cols>
  <sheetData>
    <row r="1" spans="1:13" ht="36" customHeight="1" thickBot="1" x14ac:dyDescent="0.3">
      <c r="A1" s="516" t="s">
        <v>161</v>
      </c>
      <c r="B1" s="517"/>
      <c r="C1" s="517"/>
      <c r="D1" s="517"/>
      <c r="E1" s="517"/>
      <c r="F1" s="517"/>
      <c r="G1" s="517"/>
      <c r="H1" s="517"/>
      <c r="I1" s="517"/>
      <c r="J1" s="517"/>
      <c r="K1" s="518"/>
    </row>
    <row r="2" spans="1:13" s="193" customFormat="1" ht="43.5" customHeight="1" x14ac:dyDescent="0.25">
      <c r="A2" s="494" t="s">
        <v>20</v>
      </c>
      <c r="B2" s="476" t="s">
        <v>21</v>
      </c>
      <c r="C2" s="476" t="s">
        <v>6</v>
      </c>
      <c r="D2" s="476" t="s">
        <v>27</v>
      </c>
      <c r="E2" s="479" t="s">
        <v>22</v>
      </c>
      <c r="F2" s="479" t="s">
        <v>65</v>
      </c>
      <c r="G2" s="192" t="s">
        <v>74</v>
      </c>
      <c r="H2" s="479" t="s">
        <v>23</v>
      </c>
      <c r="I2" s="485" t="s">
        <v>24</v>
      </c>
      <c r="J2" s="488" t="s">
        <v>40</v>
      </c>
      <c r="K2" s="491" t="s">
        <v>25</v>
      </c>
      <c r="M2" s="194"/>
    </row>
    <row r="3" spans="1:13" s="193" customFormat="1" ht="29.25" customHeight="1" x14ac:dyDescent="0.25">
      <c r="A3" s="495"/>
      <c r="B3" s="477"/>
      <c r="C3" s="477"/>
      <c r="D3" s="477"/>
      <c r="E3" s="480"/>
      <c r="F3" s="480"/>
      <c r="G3" s="116">
        <v>20.09</v>
      </c>
      <c r="H3" s="480"/>
      <c r="I3" s="486"/>
      <c r="J3" s="489"/>
      <c r="K3" s="492"/>
      <c r="M3" s="194"/>
    </row>
    <row r="4" spans="1:13" s="193" customFormat="1" ht="9" hidden="1" customHeight="1" x14ac:dyDescent="0.25">
      <c r="A4" s="496"/>
      <c r="B4" s="478"/>
      <c r="C4" s="478"/>
      <c r="D4" s="478"/>
      <c r="E4" s="481"/>
      <c r="F4" s="481"/>
      <c r="G4" s="195">
        <f>(G3/100)+1</f>
        <v>1.2009000000000001</v>
      </c>
      <c r="H4" s="481"/>
      <c r="I4" s="487"/>
      <c r="J4" s="490"/>
      <c r="K4" s="493"/>
      <c r="M4" s="194"/>
    </row>
    <row r="5" spans="1:13" s="193" customFormat="1" x14ac:dyDescent="0.25">
      <c r="A5" s="13" t="s">
        <v>84</v>
      </c>
      <c r="B5" s="196"/>
      <c r="C5" s="196"/>
      <c r="D5" s="369" t="s">
        <v>13</v>
      </c>
      <c r="E5" s="370"/>
      <c r="F5" s="370"/>
      <c r="G5" s="370"/>
      <c r="H5" s="198"/>
      <c r="I5" s="199"/>
      <c r="J5" s="69"/>
      <c r="K5" s="19"/>
      <c r="M5" s="194"/>
    </row>
    <row r="6" spans="1:13" s="193" customFormat="1" x14ac:dyDescent="0.25">
      <c r="A6" s="219" t="s">
        <v>85</v>
      </c>
      <c r="B6" s="211"/>
      <c r="C6" s="211"/>
      <c r="D6" s="220" t="s">
        <v>78</v>
      </c>
      <c r="E6" s="221"/>
      <c r="F6" s="202"/>
      <c r="G6" s="202"/>
      <c r="H6" s="202"/>
      <c r="I6" s="212"/>
      <c r="J6" s="212"/>
      <c r="K6" s="147"/>
      <c r="M6" s="194"/>
    </row>
    <row r="7" spans="1:13" s="193" customFormat="1" ht="26.25" thickBot="1" x14ac:dyDescent="0.3">
      <c r="A7" s="222" t="s">
        <v>31</v>
      </c>
      <c r="B7" s="125" t="s">
        <v>100</v>
      </c>
      <c r="C7" s="200" t="s">
        <v>1</v>
      </c>
      <c r="D7" s="201" t="e">
        <f>LOOKUP(C7,#REF!,#REF!)</f>
        <v>#REF!</v>
      </c>
      <c r="E7" s="200" t="e">
        <f>LOOKUP(C7,#REF!,#REF!)</f>
        <v>#REF!</v>
      </c>
      <c r="F7" s="202"/>
      <c r="G7" s="138">
        <f>F7*G4</f>
        <v>0</v>
      </c>
      <c r="H7" s="202">
        <v>3909.37</v>
      </c>
      <c r="I7" s="139">
        <f>G7*H7</f>
        <v>0</v>
      </c>
      <c r="J7" s="212"/>
      <c r="K7" s="132" t="e">
        <f>I7/J26</f>
        <v>#DIV/0!</v>
      </c>
      <c r="M7" s="194">
        <f t="shared" ref="M7:M19" si="0">F7*0.765</f>
        <v>0</v>
      </c>
    </row>
    <row r="8" spans="1:13" s="193" customFormat="1" ht="15.75" thickBot="1" x14ac:dyDescent="0.3">
      <c r="A8" s="340"/>
      <c r="B8" s="341"/>
      <c r="C8" s="341"/>
      <c r="D8" s="225"/>
      <c r="E8" s="342"/>
      <c r="F8" s="206"/>
      <c r="G8" s="206"/>
      <c r="H8" s="207" t="s">
        <v>73</v>
      </c>
      <c r="I8" s="215"/>
      <c r="J8" s="216">
        <f>SUM(I7:I7)</f>
        <v>0</v>
      </c>
      <c r="K8" s="210" t="e">
        <f>J8/J26</f>
        <v>#DIV/0!</v>
      </c>
      <c r="M8" s="194"/>
    </row>
    <row r="9" spans="1:13" s="193" customFormat="1" x14ac:dyDescent="0.25">
      <c r="A9" s="219" t="s">
        <v>86</v>
      </c>
      <c r="B9" s="211"/>
      <c r="C9" s="211"/>
      <c r="D9" s="220" t="s">
        <v>15</v>
      </c>
      <c r="E9" s="211"/>
      <c r="F9" s="202"/>
      <c r="G9" s="202"/>
      <c r="H9" s="202"/>
      <c r="I9" s="212"/>
      <c r="J9" s="212"/>
      <c r="K9" s="147"/>
      <c r="M9" s="194"/>
    </row>
    <row r="10" spans="1:13" s="193" customFormat="1" ht="38.25" x14ac:dyDescent="0.25">
      <c r="A10" s="222" t="s">
        <v>33</v>
      </c>
      <c r="B10" s="125" t="s">
        <v>100</v>
      </c>
      <c r="C10" s="200" t="s">
        <v>3</v>
      </c>
      <c r="D10" s="201" t="e">
        <f>LOOKUP(C10,#REF!,#REF!)</f>
        <v>#REF!</v>
      </c>
      <c r="E10" s="200" t="e">
        <f>LOOKUP(C10,#REF!,#REF!)</f>
        <v>#REF!</v>
      </c>
      <c r="F10" s="202"/>
      <c r="G10" s="138">
        <f>F10*G4</f>
        <v>0</v>
      </c>
      <c r="H10" s="202">
        <v>3909.37</v>
      </c>
      <c r="I10" s="139">
        <f>G10*H10</f>
        <v>0</v>
      </c>
      <c r="J10" s="212"/>
      <c r="K10" s="132" t="e">
        <f>I10/J26</f>
        <v>#DIV/0!</v>
      </c>
      <c r="M10" s="194">
        <f t="shared" si="0"/>
        <v>0</v>
      </c>
    </row>
    <row r="11" spans="1:13" s="193" customFormat="1" ht="26.25" thickBot="1" x14ac:dyDescent="0.3">
      <c r="A11" s="222" t="s">
        <v>34</v>
      </c>
      <c r="B11" s="125" t="s">
        <v>100</v>
      </c>
      <c r="C11" s="200" t="s">
        <v>2</v>
      </c>
      <c r="D11" s="201" t="e">
        <f>LOOKUP(C11,#REF!,#REF!)</f>
        <v>#REF!</v>
      </c>
      <c r="E11" s="200" t="e">
        <f>LOOKUP(C11,#REF!,#REF!)</f>
        <v>#REF!</v>
      </c>
      <c r="F11" s="202"/>
      <c r="G11" s="138">
        <f>F11*G4</f>
        <v>0</v>
      </c>
      <c r="H11" s="202">
        <f>30*0.3*0.11</f>
        <v>0.99</v>
      </c>
      <c r="I11" s="139">
        <f>G11*H11</f>
        <v>0</v>
      </c>
      <c r="J11" s="212"/>
      <c r="K11" s="132" t="e">
        <f>I11/J26</f>
        <v>#DIV/0!</v>
      </c>
      <c r="M11" s="194">
        <f t="shared" si="0"/>
        <v>0</v>
      </c>
    </row>
    <row r="12" spans="1:13" s="193" customFormat="1" ht="15.75" thickBot="1" x14ac:dyDescent="0.3">
      <c r="A12" s="340"/>
      <c r="B12" s="341"/>
      <c r="C12" s="341"/>
      <c r="D12" s="225"/>
      <c r="E12" s="342"/>
      <c r="F12" s="206"/>
      <c r="G12" s="206"/>
      <c r="H12" s="207" t="s">
        <v>61</v>
      </c>
      <c r="I12" s="215"/>
      <c r="J12" s="216">
        <f>SUM(I10:I11)</f>
        <v>0</v>
      </c>
      <c r="K12" s="210" t="e">
        <f>J12/J26</f>
        <v>#DIV/0!</v>
      </c>
      <c r="M12" s="194"/>
    </row>
    <row r="13" spans="1:13" s="193" customFormat="1" x14ac:dyDescent="0.25">
      <c r="A13" s="219" t="s">
        <v>87</v>
      </c>
      <c r="B13" s="211"/>
      <c r="C13" s="211"/>
      <c r="D13" s="228" t="s">
        <v>115</v>
      </c>
      <c r="E13" s="211"/>
      <c r="F13" s="202"/>
      <c r="G13" s="202"/>
      <c r="H13" s="202"/>
      <c r="I13" s="212"/>
      <c r="J13" s="212"/>
      <c r="K13" s="147"/>
      <c r="M13" s="194"/>
    </row>
    <row r="14" spans="1:13" s="193" customFormat="1" ht="25.5" x14ac:dyDescent="0.25">
      <c r="A14" s="222" t="s">
        <v>37</v>
      </c>
      <c r="B14" s="127" t="s">
        <v>101</v>
      </c>
      <c r="C14" s="200">
        <v>72947</v>
      </c>
      <c r="D14" s="201" t="s">
        <v>69</v>
      </c>
      <c r="E14" s="200" t="s">
        <v>9</v>
      </c>
      <c r="F14" s="202"/>
      <c r="G14" s="138">
        <f>F14*G4</f>
        <v>0</v>
      </c>
      <c r="H14" s="229">
        <v>49.68</v>
      </c>
      <c r="I14" s="139">
        <f>G14*H14</f>
        <v>0</v>
      </c>
      <c r="J14" s="212"/>
      <c r="K14" s="132" t="e">
        <f>I14/J26</f>
        <v>#DIV/0!</v>
      </c>
      <c r="M14" s="194">
        <f t="shared" si="0"/>
        <v>0</v>
      </c>
    </row>
    <row r="15" spans="1:13" s="193" customFormat="1" ht="25.5" x14ac:dyDescent="0.25">
      <c r="A15" s="222" t="s">
        <v>38</v>
      </c>
      <c r="B15" s="125" t="s">
        <v>100</v>
      </c>
      <c r="C15" s="200" t="s">
        <v>11</v>
      </c>
      <c r="D15" s="201" t="e">
        <f>LOOKUP(C15,#REF!,#REF!)</f>
        <v>#REF!</v>
      </c>
      <c r="E15" s="200" t="e">
        <f>LOOKUP(C15,#REF!,#REF!)</f>
        <v>#REF!</v>
      </c>
      <c r="F15" s="202"/>
      <c r="G15" s="138">
        <f>F15*G4</f>
        <v>0</v>
      </c>
      <c r="H15" s="229">
        <v>0.32</v>
      </c>
      <c r="I15" s="139">
        <f t="shared" ref="I15:I24" si="1">G15*H15</f>
        <v>0</v>
      </c>
      <c r="J15" s="212"/>
      <c r="K15" s="132" t="e">
        <f>I15/J26</f>
        <v>#DIV/0!</v>
      </c>
      <c r="M15" s="194">
        <f t="shared" si="0"/>
        <v>0</v>
      </c>
    </row>
    <row r="16" spans="1:13" s="193" customFormat="1" x14ac:dyDescent="0.25">
      <c r="A16" s="222" t="s">
        <v>39</v>
      </c>
      <c r="B16" s="125" t="s">
        <v>100</v>
      </c>
      <c r="C16" s="213" t="s">
        <v>19</v>
      </c>
      <c r="D16" s="201" t="e">
        <f>LOOKUP(C16,#REF!,#REF!)</f>
        <v>#REF!</v>
      </c>
      <c r="E16" s="200" t="e">
        <f>LOOKUP(C16,#REF!,#REF!)</f>
        <v>#REF!</v>
      </c>
      <c r="F16" s="202"/>
      <c r="G16" s="138">
        <f>F16*G4</f>
        <v>0</v>
      </c>
      <c r="H16" s="229">
        <f>2*3</f>
        <v>6</v>
      </c>
      <c r="I16" s="139">
        <f t="shared" si="1"/>
        <v>0</v>
      </c>
      <c r="J16" s="212"/>
      <c r="K16" s="132" t="e">
        <f>I16/J26</f>
        <v>#DIV/0!</v>
      </c>
      <c r="M16" s="194">
        <f t="shared" si="0"/>
        <v>0</v>
      </c>
    </row>
    <row r="17" spans="1:14" s="193" customFormat="1" ht="25.5" x14ac:dyDescent="0.25">
      <c r="A17" s="222" t="s">
        <v>110</v>
      </c>
      <c r="B17" s="125" t="s">
        <v>100</v>
      </c>
      <c r="C17" s="213" t="s">
        <v>95</v>
      </c>
      <c r="D17" s="201" t="e">
        <f>LOOKUP(C17,#REF!,#REF!)</f>
        <v>#REF!</v>
      </c>
      <c r="E17" s="200" t="e">
        <f>LOOKUP(C17,#REF!,#REF!)</f>
        <v>#REF!</v>
      </c>
      <c r="F17" s="202"/>
      <c r="G17" s="138">
        <f>F17*G4</f>
        <v>0</v>
      </c>
      <c r="H17" s="229">
        <f>2*0.5</f>
        <v>1</v>
      </c>
      <c r="I17" s="139">
        <f>G17*H17</f>
        <v>0</v>
      </c>
      <c r="J17" s="212"/>
      <c r="K17" s="132" t="e">
        <f>I17/J26</f>
        <v>#DIV/0!</v>
      </c>
      <c r="M17" s="194"/>
    </row>
    <row r="18" spans="1:14" s="343" customFormat="1" ht="25.5" x14ac:dyDescent="0.25">
      <c r="A18" s="222" t="s">
        <v>111</v>
      </c>
      <c r="B18" s="127" t="s">
        <v>101</v>
      </c>
      <c r="C18" s="213" t="s">
        <v>105</v>
      </c>
      <c r="D18" s="214" t="s">
        <v>57</v>
      </c>
      <c r="E18" s="218" t="s">
        <v>12</v>
      </c>
      <c r="F18" s="202"/>
      <c r="G18" s="138">
        <f>F18*G4</f>
        <v>0</v>
      </c>
      <c r="H18" s="229">
        <v>2</v>
      </c>
      <c r="I18" s="139">
        <f t="shared" si="1"/>
        <v>0</v>
      </c>
      <c r="J18" s="212"/>
      <c r="K18" s="132" t="e">
        <f>I18/J26</f>
        <v>#DIV/0!</v>
      </c>
      <c r="M18" s="194">
        <f t="shared" si="0"/>
        <v>0</v>
      </c>
      <c r="N18" s="343">
        <v>6</v>
      </c>
    </row>
    <row r="19" spans="1:14" s="343" customFormat="1" ht="30" customHeight="1" x14ac:dyDescent="0.25">
      <c r="A19" s="222" t="s">
        <v>112</v>
      </c>
      <c r="B19" s="125" t="s">
        <v>100</v>
      </c>
      <c r="C19" s="200" t="s">
        <v>10</v>
      </c>
      <c r="D19" s="201" t="s">
        <v>58</v>
      </c>
      <c r="E19" s="200" t="e">
        <f>LOOKUP(C19,#REF!,#REF!)</f>
        <v>#REF!</v>
      </c>
      <c r="F19" s="202"/>
      <c r="G19" s="138">
        <f t="shared" ref="G19:G24" si="2">F19*$G$4</f>
        <v>0</v>
      </c>
      <c r="H19" s="202">
        <v>209.94</v>
      </c>
      <c r="I19" s="139">
        <f t="shared" si="1"/>
        <v>0</v>
      </c>
      <c r="J19" s="212"/>
      <c r="K19" s="132" t="e">
        <f t="shared" ref="K19:K24" si="3">I19/$J$26</f>
        <v>#DIV/0!</v>
      </c>
      <c r="M19" s="194">
        <f t="shared" si="0"/>
        <v>0</v>
      </c>
    </row>
    <row r="20" spans="1:14" s="352" customFormat="1" ht="30" customHeight="1" x14ac:dyDescent="0.25">
      <c r="A20" s="222" t="s">
        <v>113</v>
      </c>
      <c r="B20" s="125" t="s">
        <v>100</v>
      </c>
      <c r="C20" s="128" t="s">
        <v>96</v>
      </c>
      <c r="D20" s="201" t="e">
        <f>LOOKUP(C20,#REF!,#REF!)</f>
        <v>#REF!</v>
      </c>
      <c r="E20" s="200" t="e">
        <f>LOOKUP(C20,#REF!,#REF!)</f>
        <v>#REF!</v>
      </c>
      <c r="F20" s="202"/>
      <c r="G20" s="138">
        <f t="shared" si="2"/>
        <v>0</v>
      </c>
      <c r="H20" s="353">
        <f>1.13*$N$18</f>
        <v>6.7799999999999994</v>
      </c>
      <c r="I20" s="139">
        <f t="shared" si="1"/>
        <v>0</v>
      </c>
      <c r="J20" s="212"/>
      <c r="K20" s="132" t="e">
        <f t="shared" si="3"/>
        <v>#DIV/0!</v>
      </c>
      <c r="M20" s="194"/>
    </row>
    <row r="21" spans="1:14" s="352" customFormat="1" ht="38.25" x14ac:dyDescent="0.25">
      <c r="A21" s="222" t="s">
        <v>114</v>
      </c>
      <c r="B21" s="125" t="s">
        <v>100</v>
      </c>
      <c r="C21" s="128" t="s">
        <v>97</v>
      </c>
      <c r="D21" s="201" t="e">
        <f>LOOKUP(C21,#REF!,#REF!)</f>
        <v>#REF!</v>
      </c>
      <c r="E21" s="200" t="e">
        <f>LOOKUP(C21,#REF!,#REF!)</f>
        <v>#REF!</v>
      </c>
      <c r="F21" s="202"/>
      <c r="G21" s="138">
        <f t="shared" si="2"/>
        <v>0</v>
      </c>
      <c r="H21" s="353">
        <f>1.13*$N$18</f>
        <v>6.7799999999999994</v>
      </c>
      <c r="I21" s="139">
        <f t="shared" si="1"/>
        <v>0</v>
      </c>
      <c r="J21" s="212"/>
      <c r="K21" s="132" t="e">
        <f t="shared" si="3"/>
        <v>#DIV/0!</v>
      </c>
      <c r="M21" s="194"/>
    </row>
    <row r="22" spans="1:14" s="352" customFormat="1" ht="30" customHeight="1" x14ac:dyDescent="0.25">
      <c r="A22" s="222" t="s">
        <v>122</v>
      </c>
      <c r="B22" s="125" t="s">
        <v>100</v>
      </c>
      <c r="C22" s="128" t="s">
        <v>94</v>
      </c>
      <c r="D22" s="201" t="e">
        <f>LOOKUP(C22,#REF!,#REF!)</f>
        <v>#REF!</v>
      </c>
      <c r="E22" s="200" t="e">
        <f>LOOKUP(C22,#REF!,#REF!)</f>
        <v>#REF!</v>
      </c>
      <c r="F22" s="202"/>
      <c r="G22" s="138">
        <f t="shared" si="2"/>
        <v>0</v>
      </c>
      <c r="H22" s="353">
        <f>0.26*$N$18</f>
        <v>1.56</v>
      </c>
      <c r="I22" s="139">
        <f t="shared" si="1"/>
        <v>0</v>
      </c>
      <c r="J22" s="212"/>
      <c r="K22" s="132" t="e">
        <f t="shared" si="3"/>
        <v>#DIV/0!</v>
      </c>
      <c r="M22" s="194"/>
    </row>
    <row r="23" spans="1:14" s="352" customFormat="1" ht="30" customHeight="1" x14ac:dyDescent="0.25">
      <c r="A23" s="222" t="s">
        <v>123</v>
      </c>
      <c r="B23" s="125" t="s">
        <v>100</v>
      </c>
      <c r="C23" s="128" t="s">
        <v>92</v>
      </c>
      <c r="D23" s="201" t="e">
        <f>LOOKUP(C23,#REF!,#REF!)</f>
        <v>#REF!</v>
      </c>
      <c r="E23" s="200" t="e">
        <f>LOOKUP(C23,#REF!,#REF!)</f>
        <v>#REF!</v>
      </c>
      <c r="F23" s="202"/>
      <c r="G23" s="138">
        <f t="shared" si="2"/>
        <v>0</v>
      </c>
      <c r="H23" s="353">
        <f>0.97*N18</f>
        <v>5.82</v>
      </c>
      <c r="I23" s="139">
        <f t="shared" si="1"/>
        <v>0</v>
      </c>
      <c r="J23" s="212"/>
      <c r="K23" s="132" t="e">
        <f t="shared" si="3"/>
        <v>#DIV/0!</v>
      </c>
      <c r="M23" s="194"/>
    </row>
    <row r="24" spans="1:14" s="352" customFormat="1" ht="30" customHeight="1" thickBot="1" x14ac:dyDescent="0.3">
      <c r="A24" s="222" t="s">
        <v>124</v>
      </c>
      <c r="B24" s="125" t="s">
        <v>100</v>
      </c>
      <c r="C24" s="128" t="s">
        <v>93</v>
      </c>
      <c r="D24" s="201" t="e">
        <f>LOOKUP(C24,#REF!,#REF!)</f>
        <v>#REF!</v>
      </c>
      <c r="E24" s="200" t="e">
        <f>LOOKUP(C24,#REF!,#REF!)</f>
        <v>#REF!</v>
      </c>
      <c r="F24" s="202"/>
      <c r="G24" s="138">
        <f t="shared" si="2"/>
        <v>0</v>
      </c>
      <c r="H24" s="353">
        <f>0.97*N18</f>
        <v>5.82</v>
      </c>
      <c r="I24" s="139">
        <f t="shared" si="1"/>
        <v>0</v>
      </c>
      <c r="J24" s="212"/>
      <c r="K24" s="132" t="e">
        <f t="shared" si="3"/>
        <v>#DIV/0!</v>
      </c>
      <c r="M24" s="194"/>
    </row>
    <row r="25" spans="1:14" s="343" customFormat="1" ht="15.75" customHeight="1" thickBot="1" x14ac:dyDescent="0.3">
      <c r="A25" s="519"/>
      <c r="B25" s="520"/>
      <c r="C25" s="520"/>
      <c r="D25" s="520"/>
      <c r="E25" s="521"/>
      <c r="F25" s="206"/>
      <c r="G25" s="206"/>
      <c r="H25" s="207" t="s">
        <v>62</v>
      </c>
      <c r="I25" s="215"/>
      <c r="J25" s="216">
        <f>SUM(I14:I24)</f>
        <v>0</v>
      </c>
      <c r="K25" s="210" t="e">
        <f>J25/J26</f>
        <v>#DIV/0!</v>
      </c>
      <c r="M25" s="189"/>
    </row>
    <row r="26" spans="1:14" s="193" customFormat="1" ht="15.75" thickBot="1" x14ac:dyDescent="0.3">
      <c r="A26" s="504" t="s">
        <v>127</v>
      </c>
      <c r="B26" s="505"/>
      <c r="C26" s="505"/>
      <c r="D26" s="505"/>
      <c r="E26" s="505"/>
      <c r="F26" s="505"/>
      <c r="G26" s="505"/>
      <c r="H26" s="505"/>
      <c r="I26" s="506"/>
      <c r="J26" s="230">
        <f>SUM(J5:J25)</f>
        <v>0</v>
      </c>
      <c r="K26" s="40" t="e">
        <f>K8+K12+K25</f>
        <v>#DIV/0!</v>
      </c>
      <c r="M26" s="194"/>
    </row>
    <row r="27" spans="1:14" s="193" customFormat="1" x14ac:dyDescent="0.25">
      <c r="A27" s="231"/>
      <c r="B27" s="231"/>
      <c r="C27" s="231"/>
      <c r="D27" s="232"/>
      <c r="E27" s="231"/>
      <c r="F27" s="231"/>
      <c r="G27" s="231"/>
      <c r="H27" s="231"/>
      <c r="I27" s="233"/>
      <c r="J27" s="234"/>
      <c r="K27" s="235"/>
      <c r="M27" s="194"/>
    </row>
    <row r="28" spans="1:14" s="193" customFormat="1" x14ac:dyDescent="0.25">
      <c r="A28" s="528" t="s">
        <v>64</v>
      </c>
      <c r="B28" s="529"/>
      <c r="C28" s="529"/>
      <c r="D28" s="336"/>
      <c r="E28" s="164"/>
      <c r="F28" s="164"/>
      <c r="G28" s="164"/>
      <c r="H28" s="499" t="s">
        <v>167</v>
      </c>
      <c r="I28" s="499"/>
      <c r="J28" s="499"/>
      <c r="K28" s="499"/>
      <c r="M28" s="194"/>
    </row>
    <row r="29" spans="1:14" s="193" customFormat="1" x14ac:dyDescent="0.25">
      <c r="A29" s="336"/>
      <c r="B29" s="497" t="s">
        <v>102</v>
      </c>
      <c r="C29" s="497"/>
      <c r="D29" s="164"/>
      <c r="E29" s="164"/>
      <c r="F29" s="164"/>
      <c r="G29" s="164"/>
      <c r="H29" s="164"/>
      <c r="I29" s="164"/>
      <c r="J29" s="164"/>
      <c r="M29" s="194"/>
    </row>
    <row r="30" spans="1:14" s="193" customFormat="1" x14ac:dyDescent="0.25">
      <c r="A30" s="336"/>
      <c r="B30" s="497" t="s">
        <v>103</v>
      </c>
      <c r="C30" s="497"/>
      <c r="D30" s="164"/>
      <c r="E30" s="164"/>
      <c r="F30" s="164"/>
      <c r="G30" s="164"/>
      <c r="H30" s="164"/>
      <c r="I30" s="164"/>
      <c r="J30" s="164"/>
      <c r="K30" s="164"/>
      <c r="M30" s="194"/>
    </row>
    <row r="31" spans="1:14" s="193" customFormat="1" x14ac:dyDescent="0.25">
      <c r="A31" s="337"/>
      <c r="B31" s="497" t="s">
        <v>104</v>
      </c>
      <c r="C31" s="497"/>
      <c r="D31" s="164"/>
      <c r="E31" s="164"/>
      <c r="F31" s="164"/>
      <c r="G31" s="164"/>
      <c r="H31" s="164"/>
      <c r="I31" s="164"/>
      <c r="J31" s="164"/>
      <c r="K31" s="164"/>
      <c r="M31" s="194"/>
    </row>
    <row r="32" spans="1:14" s="193" customFormat="1" x14ac:dyDescent="0.25">
      <c r="A32" s="337"/>
      <c r="B32" s="356"/>
      <c r="C32" s="356"/>
      <c r="D32" s="164"/>
      <c r="E32" s="164"/>
      <c r="F32" s="164"/>
      <c r="G32" s="164"/>
      <c r="H32" s="164"/>
      <c r="I32" s="164"/>
      <c r="J32" s="164"/>
      <c r="K32" s="164"/>
      <c r="M32" s="194"/>
    </row>
    <row r="33" spans="1:13" s="193" customFormat="1" x14ac:dyDescent="0.25">
      <c r="A33" s="337"/>
      <c r="B33" s="356"/>
      <c r="C33" s="356"/>
      <c r="D33" s="164"/>
      <c r="E33" s="164"/>
      <c r="F33" s="164"/>
      <c r="G33" s="164"/>
      <c r="H33" s="164"/>
      <c r="I33" s="164"/>
      <c r="J33" s="164"/>
      <c r="K33" s="164"/>
      <c r="M33" s="194"/>
    </row>
    <row r="34" spans="1:13" s="193" customFormat="1" x14ac:dyDescent="0.25">
      <c r="A34" s="343"/>
      <c r="B34" s="343"/>
      <c r="C34" s="343"/>
      <c r="D34" s="364"/>
      <c r="E34" s="402"/>
      <c r="F34" s="402"/>
      <c r="G34" s="402"/>
      <c r="H34" s="402"/>
      <c r="I34" s="237"/>
      <c r="J34" s="238"/>
      <c r="K34" s="239"/>
      <c r="M34" s="194"/>
    </row>
    <row r="35" spans="1:13" s="193" customFormat="1" x14ac:dyDescent="0.25">
      <c r="A35" s="343"/>
      <c r="B35" s="343"/>
      <c r="C35" s="343"/>
      <c r="D35" s="403"/>
      <c r="E35" s="403"/>
      <c r="F35" s="402"/>
      <c r="G35" s="533"/>
      <c r="H35" s="403"/>
      <c r="I35" s="403"/>
      <c r="J35" s="403"/>
      <c r="K35" s="403"/>
      <c r="M35" s="194"/>
    </row>
    <row r="36" spans="1:13" ht="15" customHeight="1" x14ac:dyDescent="0.25">
      <c r="A36" s="338"/>
      <c r="B36" s="339"/>
      <c r="C36" s="338"/>
      <c r="D36" s="403"/>
      <c r="E36" s="403"/>
      <c r="F36" s="401"/>
      <c r="G36" s="536"/>
      <c r="H36" s="403"/>
      <c r="I36" s="403"/>
      <c r="J36" s="403"/>
      <c r="K36" s="403"/>
    </row>
    <row r="37" spans="1:13" ht="15" customHeight="1" x14ac:dyDescent="0.25">
      <c r="A37" s="338"/>
      <c r="B37" s="339"/>
      <c r="C37" s="338"/>
      <c r="D37" s="403"/>
      <c r="E37" s="403"/>
      <c r="F37" s="401"/>
      <c r="G37" s="401"/>
      <c r="H37" s="414"/>
      <c r="I37" s="414"/>
      <c r="J37" s="414"/>
      <c r="K37" s="414"/>
    </row>
    <row r="38" spans="1:13" x14ac:dyDescent="0.25">
      <c r="A38" s="338"/>
      <c r="B38" s="339"/>
      <c r="C38" s="338"/>
      <c r="D38" s="362"/>
      <c r="E38" s="360"/>
      <c r="F38" s="401"/>
      <c r="G38" s="401"/>
      <c r="H38" s="6"/>
      <c r="I38" s="243"/>
      <c r="J38" s="244"/>
      <c r="K38" s="241"/>
      <c r="L38" s="6"/>
    </row>
    <row r="39" spans="1:13" x14ac:dyDescent="0.25">
      <c r="A39" s="338"/>
      <c r="B39" s="339"/>
      <c r="C39" s="338"/>
      <c r="D39" s="362"/>
      <c r="E39" s="360"/>
      <c r="F39" s="401"/>
      <c r="G39" s="401"/>
      <c r="H39" s="6"/>
      <c r="I39" s="243"/>
      <c r="J39" s="244"/>
      <c r="K39" s="241"/>
      <c r="L39" s="6"/>
    </row>
    <row r="40" spans="1:13" x14ac:dyDescent="0.25">
      <c r="B40" s="339"/>
      <c r="C40" s="338"/>
      <c r="D40" s="362"/>
      <c r="E40" s="360"/>
      <c r="F40" s="401"/>
      <c r="G40" s="401"/>
      <c r="H40" s="6"/>
      <c r="I40" s="243"/>
      <c r="J40" s="244"/>
      <c r="K40" s="241"/>
      <c r="L40" s="6"/>
    </row>
    <row r="41" spans="1:13" x14ac:dyDescent="0.25">
      <c r="A41" s="338"/>
      <c r="B41" s="339"/>
      <c r="C41" s="338"/>
      <c r="D41" s="362"/>
      <c r="E41" s="360"/>
      <c r="F41" s="401"/>
      <c r="G41" s="401"/>
      <c r="H41" s="403"/>
      <c r="I41" s="403"/>
      <c r="J41" s="403"/>
      <c r="K41" s="403"/>
      <c r="L41" s="6"/>
    </row>
    <row r="42" spans="1:13" x14ac:dyDescent="0.25">
      <c r="A42" s="338"/>
      <c r="B42" s="339"/>
      <c r="C42" s="338"/>
      <c r="D42" s="362"/>
      <c r="E42" s="360"/>
      <c r="F42" s="401"/>
      <c r="G42" s="401"/>
      <c r="H42" s="403"/>
      <c r="I42" s="403"/>
      <c r="J42" s="403"/>
      <c r="K42" s="403"/>
      <c r="L42" s="6"/>
    </row>
    <row r="43" spans="1:13" x14ac:dyDescent="0.25">
      <c r="D43" s="362"/>
      <c r="E43" s="360"/>
      <c r="F43" s="401"/>
      <c r="G43" s="401"/>
      <c r="H43" s="403"/>
      <c r="I43" s="403"/>
      <c r="J43" s="403"/>
      <c r="K43" s="403"/>
    </row>
  </sheetData>
  <mergeCells count="27">
    <mergeCell ref="A26:I26"/>
    <mergeCell ref="A1:K1"/>
    <mergeCell ref="A2:A4"/>
    <mergeCell ref="B2:B4"/>
    <mergeCell ref="C2:C4"/>
    <mergeCell ref="D2:D4"/>
    <mergeCell ref="E2:E4"/>
    <mergeCell ref="F2:F4"/>
    <mergeCell ref="H2:H4"/>
    <mergeCell ref="I2:I4"/>
    <mergeCell ref="J2:J4"/>
    <mergeCell ref="K2:K4"/>
    <mergeCell ref="A25:E25"/>
    <mergeCell ref="H41:K41"/>
    <mergeCell ref="H42:K42"/>
    <mergeCell ref="H43:K43"/>
    <mergeCell ref="A28:C28"/>
    <mergeCell ref="B29:C29"/>
    <mergeCell ref="B30:C30"/>
    <mergeCell ref="B31:C31"/>
    <mergeCell ref="D35:E35"/>
    <mergeCell ref="D36:E36"/>
    <mergeCell ref="D37:E37"/>
    <mergeCell ref="H35:K35"/>
    <mergeCell ref="H36:K36"/>
    <mergeCell ref="H37:K37"/>
    <mergeCell ref="H28:K28"/>
  </mergeCells>
  <printOptions horizontalCentered="1"/>
  <pageMargins left="0.51181102362204722" right="0.55118110236220474" top="1.1811023622047245" bottom="0.98425196850393704" header="0.31496062992125984" footer="0.31496062992125984"/>
  <pageSetup paperSize="9" scale="65"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3"/>
  <sheetViews>
    <sheetView view="pageBreakPreview" zoomScaleNormal="84" zoomScaleSheetLayoutView="100" workbookViewId="0">
      <selection sqref="A1:K1"/>
    </sheetView>
  </sheetViews>
  <sheetFormatPr defaultRowHeight="15" x14ac:dyDescent="0.2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3.42578125" style="250" customWidth="1"/>
    <col min="11" max="11" width="9.140625" style="251"/>
    <col min="12" max="12" width="9.140625" style="190"/>
    <col min="13" max="13" width="9.140625" style="191"/>
    <col min="14" max="16384" width="9.140625" style="190"/>
  </cols>
  <sheetData>
    <row r="1" spans="1:13" ht="36" customHeight="1" thickBot="1" x14ac:dyDescent="0.3">
      <c r="A1" s="516" t="s">
        <v>162</v>
      </c>
      <c r="B1" s="517"/>
      <c r="C1" s="517"/>
      <c r="D1" s="517"/>
      <c r="E1" s="517"/>
      <c r="F1" s="517"/>
      <c r="G1" s="517"/>
      <c r="H1" s="517"/>
      <c r="I1" s="517"/>
      <c r="J1" s="517"/>
      <c r="K1" s="518"/>
    </row>
    <row r="2" spans="1:13" s="193" customFormat="1" ht="43.5" customHeight="1" x14ac:dyDescent="0.25">
      <c r="A2" s="494" t="s">
        <v>20</v>
      </c>
      <c r="B2" s="476" t="s">
        <v>21</v>
      </c>
      <c r="C2" s="476" t="s">
        <v>6</v>
      </c>
      <c r="D2" s="476" t="s">
        <v>27</v>
      </c>
      <c r="E2" s="479" t="s">
        <v>22</v>
      </c>
      <c r="F2" s="479" t="s">
        <v>65</v>
      </c>
      <c r="G2" s="192" t="s">
        <v>74</v>
      </c>
      <c r="H2" s="479" t="s">
        <v>23</v>
      </c>
      <c r="I2" s="485" t="s">
        <v>24</v>
      </c>
      <c r="J2" s="488" t="s">
        <v>40</v>
      </c>
      <c r="K2" s="491" t="s">
        <v>25</v>
      </c>
      <c r="M2" s="194"/>
    </row>
    <row r="3" spans="1:13" s="193" customFormat="1" ht="29.25" customHeight="1" x14ac:dyDescent="0.25">
      <c r="A3" s="495"/>
      <c r="B3" s="477"/>
      <c r="C3" s="477"/>
      <c r="D3" s="477"/>
      <c r="E3" s="480"/>
      <c r="F3" s="480"/>
      <c r="G3" s="116">
        <v>20.09</v>
      </c>
      <c r="H3" s="480"/>
      <c r="I3" s="486"/>
      <c r="J3" s="489"/>
      <c r="K3" s="492"/>
      <c r="M3" s="194"/>
    </row>
    <row r="4" spans="1:13" s="193" customFormat="1" ht="9" hidden="1" customHeight="1" x14ac:dyDescent="0.25">
      <c r="A4" s="496"/>
      <c r="B4" s="478"/>
      <c r="C4" s="478"/>
      <c r="D4" s="478"/>
      <c r="E4" s="481"/>
      <c r="F4" s="481"/>
      <c r="G4" s="195">
        <f>(G3/100)+1</f>
        <v>1.2009000000000001</v>
      </c>
      <c r="H4" s="481"/>
      <c r="I4" s="487"/>
      <c r="J4" s="490"/>
      <c r="K4" s="493"/>
      <c r="M4" s="194"/>
    </row>
    <row r="5" spans="1:13" s="193" customFormat="1" x14ac:dyDescent="0.25">
      <c r="A5" s="13" t="s">
        <v>84</v>
      </c>
      <c r="B5" s="196"/>
      <c r="C5" s="196"/>
      <c r="D5" s="369" t="s">
        <v>13</v>
      </c>
      <c r="E5" s="370"/>
      <c r="F5" s="370"/>
      <c r="G5" s="370"/>
      <c r="H5" s="198"/>
      <c r="I5" s="199"/>
      <c r="J5" s="69"/>
      <c r="K5" s="19"/>
      <c r="M5" s="194"/>
    </row>
    <row r="6" spans="1:13" s="193" customFormat="1" ht="15.75" thickBot="1" x14ac:dyDescent="0.3">
      <c r="A6" s="145" t="s">
        <v>28</v>
      </c>
      <c r="B6" s="125" t="s">
        <v>100</v>
      </c>
      <c r="C6" s="200" t="s">
        <v>8</v>
      </c>
      <c r="D6" s="201" t="e">
        <f>LOOKUP(C6,#REF!,#REF!)</f>
        <v>#REF!</v>
      </c>
      <c r="E6" s="200" t="e">
        <f>LOOKUP(C6,#REF!,#REF!)</f>
        <v>#REF!</v>
      </c>
      <c r="F6" s="202"/>
      <c r="G6" s="138">
        <f>F6*G4</f>
        <v>0</v>
      </c>
      <c r="H6" s="202">
        <v>663.54</v>
      </c>
      <c r="I6" s="203">
        <f>G6*H6</f>
        <v>0</v>
      </c>
      <c r="J6" s="204"/>
      <c r="K6" s="132" t="e">
        <f>I6/J17</f>
        <v>#DIV/0!</v>
      </c>
      <c r="M6" s="194">
        <f>F6*0.765</f>
        <v>0</v>
      </c>
    </row>
    <row r="7" spans="1:13" s="193" customFormat="1" ht="15.75" thickBot="1" x14ac:dyDescent="0.3">
      <c r="A7" s="519"/>
      <c r="B7" s="520"/>
      <c r="C7" s="520"/>
      <c r="D7" s="520"/>
      <c r="E7" s="521"/>
      <c r="F7" s="206"/>
      <c r="G7" s="206"/>
      <c r="H7" s="207" t="s">
        <v>60</v>
      </c>
      <c r="I7" s="208"/>
      <c r="J7" s="209">
        <f>SUM(I6:I6)</f>
        <v>0</v>
      </c>
      <c r="K7" s="210" t="e">
        <f>J7/J17</f>
        <v>#DIV/0!</v>
      </c>
      <c r="M7" s="194"/>
    </row>
    <row r="8" spans="1:13" s="193" customFormat="1" x14ac:dyDescent="0.25">
      <c r="A8" s="219" t="s">
        <v>85</v>
      </c>
      <c r="B8" s="211"/>
      <c r="C8" s="211"/>
      <c r="D8" s="220" t="s">
        <v>78</v>
      </c>
      <c r="E8" s="221"/>
      <c r="F8" s="202"/>
      <c r="G8" s="202"/>
      <c r="H8" s="202"/>
      <c r="I8" s="212"/>
      <c r="J8" s="212"/>
      <c r="K8" s="147"/>
      <c r="M8" s="194"/>
    </row>
    <row r="9" spans="1:13" s="193" customFormat="1" ht="26.25" thickBot="1" x14ac:dyDescent="0.3">
      <c r="A9" s="222" t="s">
        <v>31</v>
      </c>
      <c r="B9" s="125" t="s">
        <v>100</v>
      </c>
      <c r="C9" s="200" t="s">
        <v>1</v>
      </c>
      <c r="D9" s="201" t="e">
        <f>LOOKUP(C9,#REF!,#REF!)</f>
        <v>#REF!</v>
      </c>
      <c r="E9" s="200" t="e">
        <f>LOOKUP(C9,#REF!,#REF!)</f>
        <v>#REF!</v>
      </c>
      <c r="F9" s="202"/>
      <c r="G9" s="138">
        <f>F9*G4</f>
        <v>0</v>
      </c>
      <c r="H9" s="202">
        <v>663.54</v>
      </c>
      <c r="I9" s="139">
        <f>G9*H9</f>
        <v>0</v>
      </c>
      <c r="J9" s="212"/>
      <c r="K9" s="132" t="e">
        <f>I9/J17</f>
        <v>#DIV/0!</v>
      </c>
      <c r="M9" s="194">
        <f>F9*0.765</f>
        <v>0</v>
      </c>
    </row>
    <row r="10" spans="1:13" s="193" customFormat="1" ht="15.75" thickBot="1" x14ac:dyDescent="0.3">
      <c r="A10" s="347"/>
      <c r="B10" s="348"/>
      <c r="C10" s="348"/>
      <c r="D10" s="225"/>
      <c r="E10" s="349"/>
      <c r="F10" s="206"/>
      <c r="G10" s="206"/>
      <c r="H10" s="207" t="s">
        <v>73</v>
      </c>
      <c r="I10" s="215"/>
      <c r="J10" s="216">
        <f>SUM(I9:I9)</f>
        <v>0</v>
      </c>
      <c r="K10" s="210" t="e">
        <f>J10/J17</f>
        <v>#DIV/0!</v>
      </c>
      <c r="M10" s="194"/>
    </row>
    <row r="11" spans="1:13" s="193" customFormat="1" x14ac:dyDescent="0.25">
      <c r="A11" s="219" t="s">
        <v>86</v>
      </c>
      <c r="B11" s="211"/>
      <c r="C11" s="211"/>
      <c r="D11" s="220" t="s">
        <v>15</v>
      </c>
      <c r="E11" s="211"/>
      <c r="F11" s="202"/>
      <c r="G11" s="202"/>
      <c r="H11" s="202"/>
      <c r="I11" s="212"/>
      <c r="J11" s="212"/>
      <c r="K11" s="147"/>
      <c r="M11" s="194"/>
    </row>
    <row r="12" spans="1:13" s="193" customFormat="1" ht="38.25" x14ac:dyDescent="0.25">
      <c r="A12" s="222" t="s">
        <v>33</v>
      </c>
      <c r="B12" s="125" t="s">
        <v>100</v>
      </c>
      <c r="C12" s="200" t="s">
        <v>3</v>
      </c>
      <c r="D12" s="201" t="e">
        <f>LOOKUP(C12,#REF!,#REF!)</f>
        <v>#REF!</v>
      </c>
      <c r="E12" s="200" t="e">
        <f>LOOKUP(C12,#REF!,#REF!)</f>
        <v>#REF!</v>
      </c>
      <c r="F12" s="202"/>
      <c r="G12" s="138">
        <f>F12*G4</f>
        <v>0</v>
      </c>
      <c r="H12" s="202">
        <v>663.54</v>
      </c>
      <c r="I12" s="139">
        <f>G12*H12</f>
        <v>0</v>
      </c>
      <c r="J12" s="212"/>
      <c r="K12" s="132" t="e">
        <f>I12/J17</f>
        <v>#DIV/0!</v>
      </c>
      <c r="M12" s="194">
        <f>F12*0.765</f>
        <v>0</v>
      </c>
    </row>
    <row r="13" spans="1:13" s="193" customFormat="1" ht="76.5" x14ac:dyDescent="0.25">
      <c r="A13" s="222" t="s">
        <v>34</v>
      </c>
      <c r="B13" s="127" t="s">
        <v>101</v>
      </c>
      <c r="C13" s="205">
        <v>94274</v>
      </c>
      <c r="D13" s="227" t="s">
        <v>5</v>
      </c>
      <c r="E13" s="200" t="s">
        <v>0</v>
      </c>
      <c r="F13" s="202"/>
      <c r="G13" s="138">
        <f>F13*G4</f>
        <v>0</v>
      </c>
      <c r="H13" s="202">
        <v>15</v>
      </c>
      <c r="I13" s="139">
        <f>G13*H13</f>
        <v>0</v>
      </c>
      <c r="J13" s="212"/>
      <c r="K13" s="132" t="e">
        <f>I13/J17</f>
        <v>#DIV/0!</v>
      </c>
      <c r="M13" s="194">
        <f>F13*0.765</f>
        <v>0</v>
      </c>
    </row>
    <row r="14" spans="1:13" s="193" customFormat="1" ht="76.5" x14ac:dyDescent="0.25">
      <c r="A14" s="222" t="s">
        <v>35</v>
      </c>
      <c r="B14" s="127" t="s">
        <v>101</v>
      </c>
      <c r="C14" s="205">
        <v>94275</v>
      </c>
      <c r="D14" s="227" t="s">
        <v>4</v>
      </c>
      <c r="E14" s="200" t="s">
        <v>0</v>
      </c>
      <c r="F14" s="202"/>
      <c r="G14" s="138">
        <f>F14*G4</f>
        <v>0</v>
      </c>
      <c r="H14" s="202">
        <v>46</v>
      </c>
      <c r="I14" s="139">
        <f>G14*H14</f>
        <v>0</v>
      </c>
      <c r="J14" s="212"/>
      <c r="K14" s="132" t="e">
        <f>I14/J17</f>
        <v>#DIV/0!</v>
      </c>
      <c r="M14" s="194">
        <f>F14*0.765</f>
        <v>0</v>
      </c>
    </row>
    <row r="15" spans="1:13" s="193" customFormat="1" ht="26.25" thickBot="1" x14ac:dyDescent="0.3">
      <c r="A15" s="222" t="s">
        <v>36</v>
      </c>
      <c r="B15" s="125" t="s">
        <v>100</v>
      </c>
      <c r="C15" s="200" t="s">
        <v>2</v>
      </c>
      <c r="D15" s="201" t="e">
        <f>LOOKUP(C15,#REF!,#REF!)</f>
        <v>#REF!</v>
      </c>
      <c r="E15" s="200" t="e">
        <f>LOOKUP(C15,#REF!,#REF!)</f>
        <v>#REF!</v>
      </c>
      <c r="F15" s="202"/>
      <c r="G15" s="138">
        <f>F15*G4</f>
        <v>0</v>
      </c>
      <c r="H15" s="202">
        <f>(H13+H14)*0.3*0.11</f>
        <v>2.0129999999999999</v>
      </c>
      <c r="I15" s="139">
        <f>G15*H15</f>
        <v>0</v>
      </c>
      <c r="J15" s="212"/>
      <c r="K15" s="132" t="e">
        <f>I15/J17</f>
        <v>#DIV/0!</v>
      </c>
      <c r="M15" s="194">
        <f>F15*0.765</f>
        <v>0</v>
      </c>
    </row>
    <row r="16" spans="1:13" s="193" customFormat="1" ht="15.75" thickBot="1" x14ac:dyDescent="0.3">
      <c r="A16" s="347"/>
      <c r="B16" s="348"/>
      <c r="C16" s="348"/>
      <c r="D16" s="225"/>
      <c r="E16" s="349"/>
      <c r="F16" s="206"/>
      <c r="G16" s="206"/>
      <c r="H16" s="207" t="s">
        <v>61</v>
      </c>
      <c r="I16" s="215"/>
      <c r="J16" s="216">
        <f>SUM(I12:I15)</f>
        <v>0</v>
      </c>
      <c r="K16" s="210" t="e">
        <f>J16/J17</f>
        <v>#DIV/0!</v>
      </c>
      <c r="M16" s="194"/>
    </row>
    <row r="17" spans="1:13" s="193" customFormat="1" ht="15.75" thickBot="1" x14ac:dyDescent="0.3">
      <c r="A17" s="504" t="s">
        <v>127</v>
      </c>
      <c r="B17" s="505"/>
      <c r="C17" s="505"/>
      <c r="D17" s="505"/>
      <c r="E17" s="505"/>
      <c r="F17" s="505"/>
      <c r="G17" s="505"/>
      <c r="H17" s="505"/>
      <c r="I17" s="506"/>
      <c r="J17" s="398">
        <f>SUM(J5:J16)</f>
        <v>0</v>
      </c>
      <c r="K17" s="40" t="e">
        <f>K7+K10+K16</f>
        <v>#DIV/0!</v>
      </c>
      <c r="M17" s="194"/>
    </row>
    <row r="18" spans="1:13" s="193" customFormat="1" x14ac:dyDescent="0.25">
      <c r="A18" s="231"/>
      <c r="B18" s="231"/>
      <c r="C18" s="231"/>
      <c r="D18" s="232"/>
      <c r="E18" s="231"/>
      <c r="F18" s="231"/>
      <c r="G18" s="231"/>
      <c r="H18" s="231"/>
      <c r="I18" s="233"/>
      <c r="J18" s="234"/>
      <c r="K18" s="235"/>
      <c r="M18" s="194"/>
    </row>
    <row r="19" spans="1:13" s="193" customFormat="1" x14ac:dyDescent="0.25">
      <c r="A19" s="528" t="s">
        <v>64</v>
      </c>
      <c r="B19" s="529"/>
      <c r="C19" s="529"/>
      <c r="D19" s="336"/>
      <c r="E19" s="164"/>
      <c r="F19" s="164"/>
      <c r="G19" s="164"/>
      <c r="H19" s="499" t="s">
        <v>167</v>
      </c>
      <c r="I19" s="499"/>
      <c r="J19" s="499"/>
      <c r="K19" s="499"/>
      <c r="M19" s="194"/>
    </row>
    <row r="20" spans="1:13" s="193" customFormat="1" x14ac:dyDescent="0.25">
      <c r="A20" s="336"/>
      <c r="B20" s="497" t="s">
        <v>102</v>
      </c>
      <c r="C20" s="497"/>
      <c r="D20" s="164"/>
      <c r="E20" s="164"/>
      <c r="F20" s="164"/>
      <c r="G20" s="164"/>
      <c r="H20" s="164"/>
      <c r="I20" s="164"/>
      <c r="J20" s="164"/>
      <c r="K20" s="164"/>
      <c r="M20" s="194"/>
    </row>
    <row r="21" spans="1:13" s="193" customFormat="1" x14ac:dyDescent="0.25">
      <c r="A21" s="336"/>
      <c r="B21" s="498" t="s">
        <v>103</v>
      </c>
      <c r="C21" s="498"/>
      <c r="D21" s="164"/>
      <c r="E21" s="164"/>
      <c r="F21" s="164"/>
      <c r="G21" s="164"/>
      <c r="H21" s="164"/>
      <c r="I21" s="164"/>
      <c r="J21" s="164"/>
      <c r="K21" s="164"/>
      <c r="M21" s="194"/>
    </row>
    <row r="22" spans="1:13" s="193" customFormat="1" x14ac:dyDescent="0.25">
      <c r="A22" s="337"/>
      <c r="B22" s="498" t="s">
        <v>104</v>
      </c>
      <c r="C22" s="498"/>
      <c r="D22" s="164"/>
      <c r="E22" s="164"/>
      <c r="F22" s="164"/>
      <c r="G22" s="164"/>
      <c r="H22" s="164"/>
      <c r="I22" s="164"/>
      <c r="J22" s="164"/>
      <c r="K22" s="164"/>
      <c r="M22" s="194"/>
    </row>
    <row r="23" spans="1:13" s="193" customFormat="1" x14ac:dyDescent="0.25">
      <c r="A23" s="350"/>
      <c r="B23" s="350"/>
      <c r="C23" s="350"/>
      <c r="D23" s="364"/>
      <c r="E23" s="402"/>
      <c r="F23" s="402"/>
      <c r="G23" s="402"/>
      <c r="H23" s="402"/>
      <c r="I23" s="237"/>
      <c r="J23" s="238"/>
      <c r="K23" s="239"/>
      <c r="M23" s="194"/>
    </row>
    <row r="24" spans="1:13" s="193" customFormat="1" x14ac:dyDescent="0.25">
      <c r="A24" s="350"/>
      <c r="B24" s="350"/>
      <c r="C24" s="350"/>
      <c r="D24" s="364"/>
      <c r="E24" s="402"/>
      <c r="F24" s="402"/>
      <c r="G24" s="402"/>
      <c r="H24" s="402"/>
      <c r="I24" s="237"/>
      <c r="J24" s="238"/>
      <c r="K24" s="239"/>
      <c r="M24" s="194"/>
    </row>
    <row r="25" spans="1:13" ht="15" customHeight="1" x14ac:dyDescent="0.25">
      <c r="A25" s="345"/>
      <c r="B25" s="346"/>
      <c r="C25" s="345"/>
      <c r="D25" s="403"/>
      <c r="E25" s="403"/>
      <c r="F25" s="402"/>
      <c r="G25" s="533"/>
      <c r="H25" s="403"/>
      <c r="I25" s="403"/>
      <c r="J25" s="403"/>
      <c r="K25" s="403"/>
    </row>
    <row r="26" spans="1:13" ht="15" customHeight="1" x14ac:dyDescent="0.25">
      <c r="A26" s="345"/>
      <c r="B26" s="346"/>
      <c r="C26" s="345"/>
      <c r="D26" s="403"/>
      <c r="E26" s="403"/>
      <c r="F26" s="401"/>
      <c r="G26" s="536"/>
      <c r="H26" s="403"/>
      <c r="I26" s="403"/>
      <c r="J26" s="403"/>
      <c r="K26" s="403"/>
    </row>
    <row r="27" spans="1:13" x14ac:dyDescent="0.25">
      <c r="A27" s="345"/>
      <c r="B27" s="346"/>
      <c r="C27" s="345"/>
      <c r="D27" s="403"/>
      <c r="E27" s="403"/>
      <c r="F27" s="401"/>
      <c r="G27" s="401"/>
      <c r="H27" s="414"/>
      <c r="I27" s="414"/>
      <c r="J27" s="414"/>
      <c r="K27" s="414"/>
      <c r="L27" s="6"/>
    </row>
    <row r="28" spans="1:13" x14ac:dyDescent="0.25">
      <c r="A28" s="345"/>
      <c r="B28" s="346"/>
      <c r="C28" s="345"/>
      <c r="D28" s="362"/>
      <c r="E28" s="360"/>
      <c r="F28" s="401"/>
      <c r="G28" s="401"/>
      <c r="H28" s="6"/>
      <c r="I28" s="243"/>
      <c r="J28" s="244"/>
      <c r="K28" s="241"/>
      <c r="L28" s="6"/>
    </row>
    <row r="29" spans="1:13" x14ac:dyDescent="0.25">
      <c r="B29" s="346"/>
      <c r="C29" s="345"/>
      <c r="D29" s="362"/>
      <c r="E29" s="360"/>
      <c r="F29" s="401"/>
      <c r="G29" s="401"/>
      <c r="H29" s="6"/>
      <c r="I29" s="243"/>
      <c r="J29" s="244"/>
      <c r="K29" s="241"/>
      <c r="L29" s="6"/>
    </row>
    <row r="30" spans="1:13" x14ac:dyDescent="0.25">
      <c r="A30" s="345"/>
      <c r="B30" s="346"/>
      <c r="C30" s="345"/>
      <c r="D30" s="362"/>
      <c r="E30" s="360"/>
      <c r="F30" s="401"/>
      <c r="G30" s="401"/>
      <c r="H30" s="6"/>
      <c r="I30" s="243"/>
      <c r="J30" s="244"/>
      <c r="K30" s="241"/>
      <c r="L30" s="6"/>
    </row>
    <row r="31" spans="1:13" x14ac:dyDescent="0.25">
      <c r="A31" s="345"/>
      <c r="B31" s="346"/>
      <c r="C31" s="345"/>
      <c r="D31" s="362"/>
      <c r="E31" s="360"/>
      <c r="F31" s="401"/>
      <c r="G31" s="401"/>
      <c r="H31" s="403"/>
      <c r="I31" s="403"/>
      <c r="J31" s="403"/>
      <c r="K31" s="403"/>
      <c r="L31" s="6"/>
    </row>
    <row r="32" spans="1:13" x14ac:dyDescent="0.25">
      <c r="D32" s="362"/>
      <c r="E32" s="360"/>
      <c r="F32" s="401"/>
      <c r="G32" s="401"/>
      <c r="H32" s="403"/>
      <c r="I32" s="403"/>
      <c r="J32" s="403"/>
      <c r="K32" s="403"/>
    </row>
    <row r="33" spans="4:11" x14ac:dyDescent="0.25">
      <c r="D33" s="362"/>
      <c r="E33" s="360"/>
      <c r="F33" s="401"/>
      <c r="G33" s="401"/>
      <c r="H33" s="403"/>
      <c r="I33" s="403"/>
      <c r="J33" s="403"/>
      <c r="K33" s="403"/>
    </row>
  </sheetData>
  <mergeCells count="27">
    <mergeCell ref="D27:E27"/>
    <mergeCell ref="H27:K27"/>
    <mergeCell ref="H31:K31"/>
    <mergeCell ref="H32:K32"/>
    <mergeCell ref="H33:K33"/>
    <mergeCell ref="J2:J4"/>
    <mergeCell ref="K2:K4"/>
    <mergeCell ref="A7:E7"/>
    <mergeCell ref="A1:K1"/>
    <mergeCell ref="A2:A4"/>
    <mergeCell ref="B2:B4"/>
    <mergeCell ref="C2:C4"/>
    <mergeCell ref="D2:D4"/>
    <mergeCell ref="E2:E4"/>
    <mergeCell ref="F2:F4"/>
    <mergeCell ref="H2:H4"/>
    <mergeCell ref="I2:I4"/>
    <mergeCell ref="D25:E25"/>
    <mergeCell ref="H25:K25"/>
    <mergeCell ref="D26:E26"/>
    <mergeCell ref="H26:K26"/>
    <mergeCell ref="A17:I17"/>
    <mergeCell ref="A19:C19"/>
    <mergeCell ref="B20:C20"/>
    <mergeCell ref="B21:C21"/>
    <mergeCell ref="B22:C22"/>
    <mergeCell ref="H19:K19"/>
  </mergeCells>
  <printOptions horizontalCentered="1"/>
  <pageMargins left="0.11811023622047245" right="0.15748031496062992" top="1.1811023622047245" bottom="1.1811023622047245" header="0.31496062992125984" footer="0.31496062992125984"/>
  <pageSetup paperSize="9" scale="71"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view="pageBreakPreview" zoomScaleNormal="84" zoomScaleSheetLayoutView="100" workbookViewId="0">
      <selection sqref="A1:K1"/>
    </sheetView>
  </sheetViews>
  <sheetFormatPr defaultRowHeight="15" x14ac:dyDescent="0.25"/>
  <cols>
    <col min="1" max="1" width="4.85546875" style="14" customWidth="1"/>
    <col min="2" max="2" width="11.7109375" style="51" customWidth="1"/>
    <col min="3" max="3" width="9.85546875" style="16" customWidth="1"/>
    <col min="4" max="4" width="37.28515625" style="2" customWidth="1"/>
    <col min="5" max="5" width="7.5703125" style="16" customWidth="1"/>
    <col min="6" max="7" width="9.140625" style="51"/>
    <col min="8" max="8" width="10.85546875" customWidth="1"/>
    <col min="9" max="9" width="13.5703125" style="48" customWidth="1"/>
    <col min="10" max="10" width="11.7109375" style="42" bestFit="1" customWidth="1"/>
    <col min="11" max="11" width="9.140625" style="8"/>
    <col min="13" max="13" width="9.140625" style="119"/>
  </cols>
  <sheetData>
    <row r="1" spans="1:13" ht="28.5" customHeight="1" thickBot="1" x14ac:dyDescent="0.3">
      <c r="A1" s="482" t="s">
        <v>144</v>
      </c>
      <c r="B1" s="483"/>
      <c r="C1" s="483"/>
      <c r="D1" s="483"/>
      <c r="E1" s="483"/>
      <c r="F1" s="483"/>
      <c r="G1" s="483"/>
      <c r="H1" s="483"/>
      <c r="I1" s="483"/>
      <c r="J1" s="483"/>
      <c r="K1" s="484"/>
    </row>
    <row r="2" spans="1:13" ht="48.75" customHeight="1" x14ac:dyDescent="0.25">
      <c r="A2" s="494" t="s">
        <v>20</v>
      </c>
      <c r="B2" s="473" t="s">
        <v>21</v>
      </c>
      <c r="C2" s="473" t="s">
        <v>6</v>
      </c>
      <c r="D2" s="476" t="s">
        <v>27</v>
      </c>
      <c r="E2" s="479" t="s">
        <v>22</v>
      </c>
      <c r="F2" s="479" t="s">
        <v>65</v>
      </c>
      <c r="G2" s="115" t="s">
        <v>74</v>
      </c>
      <c r="H2" s="479" t="s">
        <v>23</v>
      </c>
      <c r="I2" s="485" t="s">
        <v>24</v>
      </c>
      <c r="J2" s="488" t="s">
        <v>40</v>
      </c>
      <c r="K2" s="491" t="s">
        <v>25</v>
      </c>
    </row>
    <row r="3" spans="1:13" ht="22.5" customHeight="1" x14ac:dyDescent="0.25">
      <c r="A3" s="495"/>
      <c r="B3" s="474"/>
      <c r="C3" s="474"/>
      <c r="D3" s="477"/>
      <c r="E3" s="480"/>
      <c r="F3" s="480"/>
      <c r="G3" s="116">
        <v>20.09</v>
      </c>
      <c r="H3" s="480"/>
      <c r="I3" s="486"/>
      <c r="J3" s="489"/>
      <c r="K3" s="492"/>
    </row>
    <row r="4" spans="1:13" ht="9" customHeight="1" x14ac:dyDescent="0.25">
      <c r="A4" s="496"/>
      <c r="B4" s="475"/>
      <c r="C4" s="475"/>
      <c r="D4" s="478"/>
      <c r="E4" s="481"/>
      <c r="F4" s="481"/>
      <c r="G4" s="99">
        <f>(G3/100)+1</f>
        <v>1.2009000000000001</v>
      </c>
      <c r="H4" s="481"/>
      <c r="I4" s="487"/>
      <c r="J4" s="490"/>
      <c r="K4" s="493"/>
    </row>
    <row r="5" spans="1:13" x14ac:dyDescent="0.25">
      <c r="A5" s="13" t="s">
        <v>84</v>
      </c>
      <c r="B5" s="67"/>
      <c r="C5" s="17"/>
      <c r="D5" s="25" t="s">
        <v>14</v>
      </c>
      <c r="E5" s="18"/>
      <c r="F5" s="18"/>
      <c r="G5" s="18"/>
      <c r="H5" s="68"/>
      <c r="I5" s="49"/>
      <c r="J5" s="69"/>
      <c r="K5" s="19"/>
    </row>
    <row r="6" spans="1:13" s="3" customFormat="1" ht="18.75" customHeight="1" x14ac:dyDescent="0.25">
      <c r="A6" s="129" t="s">
        <v>28</v>
      </c>
      <c r="B6" s="125" t="s">
        <v>100</v>
      </c>
      <c r="C6" s="153" t="s">
        <v>91</v>
      </c>
      <c r="D6" s="156" t="e">
        <f>LOOKUP(C6,#REF!,#REF!)</f>
        <v>#REF!</v>
      </c>
      <c r="E6" s="150" t="e">
        <f>LOOKUP(C6,#REF!,#REF!)</f>
        <v>#REF!</v>
      </c>
      <c r="F6" s="138"/>
      <c r="G6" s="138">
        <f>F6*G4</f>
        <v>0</v>
      </c>
      <c r="H6" s="137">
        <v>6</v>
      </c>
      <c r="I6" s="139">
        <f>G6*H6</f>
        <v>0</v>
      </c>
      <c r="J6" s="139"/>
      <c r="K6" s="132" t="e">
        <f>I6/J11</f>
        <v>#DIV/0!</v>
      </c>
      <c r="M6" s="184">
        <f>F6*0.765</f>
        <v>0</v>
      </c>
    </row>
    <row r="7" spans="1:13" ht="25.5" x14ac:dyDescent="0.25">
      <c r="A7" s="129" t="s">
        <v>29</v>
      </c>
      <c r="B7" s="125" t="s">
        <v>100</v>
      </c>
      <c r="C7" s="153" t="s">
        <v>18</v>
      </c>
      <c r="D7" s="156" t="e">
        <f>LOOKUP(C7,#REF!,#REF!)</f>
        <v>#REF!</v>
      </c>
      <c r="E7" s="150" t="e">
        <f>LOOKUP(C7,#REF!,#REF!)</f>
        <v>#REF!</v>
      </c>
      <c r="F7" s="138"/>
      <c r="G7" s="138">
        <f>F7*G4</f>
        <v>0</v>
      </c>
      <c r="H7" s="137">
        <v>3</v>
      </c>
      <c r="I7" s="139">
        <f>G7*H7</f>
        <v>0</v>
      </c>
      <c r="J7" s="140"/>
      <c r="K7" s="132" t="e">
        <f>I7/J11</f>
        <v>#DIV/0!</v>
      </c>
      <c r="M7" s="184">
        <f>F7*0.765</f>
        <v>0</v>
      </c>
    </row>
    <row r="8" spans="1:13" ht="25.5" x14ac:dyDescent="0.25">
      <c r="A8" s="129" t="s">
        <v>30</v>
      </c>
      <c r="B8" s="125" t="s">
        <v>100</v>
      </c>
      <c r="C8" s="154" t="s">
        <v>17</v>
      </c>
      <c r="D8" s="156" t="e">
        <f>LOOKUP(C8,#REF!,#REF!)</f>
        <v>#REF!</v>
      </c>
      <c r="E8" s="150" t="e">
        <f>LOOKUP(C8,#REF!,#REF!)</f>
        <v>#REF!</v>
      </c>
      <c r="F8" s="138"/>
      <c r="G8" s="138">
        <f>F8*G4</f>
        <v>0</v>
      </c>
      <c r="H8" s="137">
        <v>12</v>
      </c>
      <c r="I8" s="139">
        <f>G8*H8</f>
        <v>0</v>
      </c>
      <c r="J8" s="151"/>
      <c r="K8" s="149" t="e">
        <f>I8/J11</f>
        <v>#DIV/0!</v>
      </c>
      <c r="M8" s="184">
        <f>F8*0.765</f>
        <v>0</v>
      </c>
    </row>
    <row r="9" spans="1:13" s="3" customFormat="1" ht="26.25" thickBot="1" x14ac:dyDescent="0.25">
      <c r="A9" s="129" t="s">
        <v>72</v>
      </c>
      <c r="B9" s="135" t="s">
        <v>101</v>
      </c>
      <c r="C9" s="153">
        <v>88326</v>
      </c>
      <c r="D9" s="20" t="s">
        <v>125</v>
      </c>
      <c r="E9" s="150" t="s">
        <v>109</v>
      </c>
      <c r="F9" s="152"/>
      <c r="G9" s="138">
        <f>F9*G4</f>
        <v>0</v>
      </c>
      <c r="H9" s="137">
        <f>24*7*3</f>
        <v>504</v>
      </c>
      <c r="I9" s="139">
        <f>G9*H9</f>
        <v>0</v>
      </c>
      <c r="J9" s="139"/>
      <c r="K9" s="132" t="e">
        <f>I9/J11</f>
        <v>#DIV/0!</v>
      </c>
      <c r="M9" s="184">
        <f>F9*0.765</f>
        <v>0</v>
      </c>
    </row>
    <row r="10" spans="1:13" ht="15.75" thickBot="1" x14ac:dyDescent="0.3">
      <c r="A10" s="467"/>
      <c r="B10" s="468"/>
      <c r="C10" s="468"/>
      <c r="D10" s="468"/>
      <c r="E10" s="469"/>
      <c r="F10" s="74"/>
      <c r="G10" s="74"/>
      <c r="H10" s="58" t="s">
        <v>60</v>
      </c>
      <c r="I10" s="50"/>
      <c r="J10" s="75">
        <f>SUM(I6:I9)</f>
        <v>0</v>
      </c>
      <c r="K10" s="76" t="e">
        <f>J10/J11</f>
        <v>#DIV/0!</v>
      </c>
    </row>
    <row r="11" spans="1:13" ht="21.75" customHeight="1" thickBot="1" x14ac:dyDescent="0.3">
      <c r="A11" s="470" t="s">
        <v>90</v>
      </c>
      <c r="B11" s="471"/>
      <c r="C11" s="471"/>
      <c r="D11" s="471"/>
      <c r="E11" s="471"/>
      <c r="F11" s="471"/>
      <c r="G11" s="471"/>
      <c r="H11" s="471"/>
      <c r="I11" s="472"/>
      <c r="J11" s="77">
        <f>SUM(J5:J10)</f>
        <v>0</v>
      </c>
      <c r="K11" s="78" t="e">
        <f>K10</f>
        <v>#DIV/0!</v>
      </c>
    </row>
    <row r="12" spans="1:13" x14ac:dyDescent="0.25">
      <c r="A12" s="10"/>
      <c r="B12" s="117" t="s">
        <v>140</v>
      </c>
      <c r="C12" s="10"/>
      <c r="D12" s="11"/>
      <c r="E12" s="10"/>
      <c r="F12" s="117"/>
      <c r="G12" s="117"/>
      <c r="H12" s="9"/>
      <c r="I12" s="44"/>
      <c r="J12" s="41"/>
      <c r="K12" s="157"/>
    </row>
    <row r="13" spans="1:13" x14ac:dyDescent="0.25">
      <c r="B13" s="497" t="s">
        <v>102</v>
      </c>
      <c r="C13" s="497"/>
      <c r="H13" s="499" t="s">
        <v>167</v>
      </c>
      <c r="I13" s="499"/>
      <c r="J13" s="499"/>
      <c r="K13" s="499"/>
    </row>
    <row r="14" spans="1:13" x14ac:dyDescent="0.25">
      <c r="B14" s="498" t="s">
        <v>103</v>
      </c>
      <c r="C14" s="498"/>
      <c r="J14" s="185"/>
    </row>
    <row r="15" spans="1:13" x14ac:dyDescent="0.25">
      <c r="B15" s="498" t="s">
        <v>104</v>
      </c>
      <c r="C15" s="498"/>
    </row>
    <row r="19" spans="2:11" x14ac:dyDescent="0.25">
      <c r="B19" s="372"/>
      <c r="C19" s="399"/>
      <c r="D19" s="378"/>
      <c r="E19" s="399"/>
      <c r="F19" s="372"/>
      <c r="G19" s="372"/>
      <c r="H19" s="533"/>
      <c r="I19" s="537"/>
      <c r="J19" s="538"/>
      <c r="K19" s="539"/>
    </row>
    <row r="20" spans="2:11" x14ac:dyDescent="0.25">
      <c r="B20" s="403"/>
      <c r="C20" s="403"/>
      <c r="D20" s="403"/>
      <c r="E20" s="533"/>
      <c r="F20" s="403"/>
      <c r="G20" s="403"/>
      <c r="H20" s="403"/>
      <c r="I20" s="403"/>
      <c r="J20" s="538"/>
      <c r="K20" s="539"/>
    </row>
    <row r="21" spans="2:11" x14ac:dyDescent="0.25">
      <c r="B21" s="403"/>
      <c r="C21" s="403"/>
      <c r="D21" s="403"/>
      <c r="E21" s="536"/>
      <c r="F21" s="403"/>
      <c r="G21" s="403"/>
      <c r="H21" s="403"/>
      <c r="I21" s="403"/>
      <c r="J21" s="538"/>
      <c r="K21" s="539"/>
    </row>
    <row r="22" spans="2:11" x14ac:dyDescent="0.25">
      <c r="B22" s="403"/>
      <c r="C22" s="403"/>
      <c r="D22" s="403"/>
      <c r="E22" s="401"/>
      <c r="F22" s="414"/>
      <c r="G22" s="414"/>
      <c r="H22" s="414"/>
      <c r="I22" s="414"/>
      <c r="J22" s="538"/>
      <c r="K22" s="539"/>
    </row>
    <row r="23" spans="2:11" x14ac:dyDescent="0.25">
      <c r="B23" s="362"/>
      <c r="C23" s="360"/>
      <c r="D23" s="401"/>
      <c r="E23" s="401"/>
      <c r="F23" s="6"/>
      <c r="G23" s="243"/>
      <c r="H23" s="244"/>
      <c r="I23" s="241"/>
      <c r="J23" s="538"/>
      <c r="K23" s="539"/>
    </row>
    <row r="24" spans="2:11" x14ac:dyDescent="0.25">
      <c r="B24" s="362"/>
      <c r="C24" s="360"/>
      <c r="D24" s="401"/>
      <c r="E24" s="401"/>
      <c r="F24" s="6"/>
      <c r="G24" s="243"/>
      <c r="H24" s="244"/>
      <c r="I24" s="241"/>
      <c r="J24" s="538"/>
      <c r="K24" s="539"/>
    </row>
    <row r="25" spans="2:11" x14ac:dyDescent="0.25">
      <c r="B25" s="362"/>
      <c r="C25" s="360"/>
      <c r="D25" s="401"/>
      <c r="E25" s="401"/>
      <c r="F25" s="6"/>
      <c r="G25" s="243"/>
      <c r="H25" s="244"/>
      <c r="I25" s="241"/>
      <c r="J25" s="538"/>
      <c r="K25" s="539"/>
    </row>
    <row r="26" spans="2:11" x14ac:dyDescent="0.25">
      <c r="B26" s="362"/>
      <c r="C26" s="360"/>
      <c r="D26" s="401"/>
      <c r="E26" s="401"/>
      <c r="F26" s="403"/>
      <c r="G26" s="403"/>
      <c r="H26" s="403"/>
      <c r="I26" s="403"/>
      <c r="J26" s="538"/>
      <c r="K26" s="539"/>
    </row>
    <row r="27" spans="2:11" x14ac:dyDescent="0.25">
      <c r="B27" s="362"/>
      <c r="C27" s="360"/>
      <c r="D27" s="401"/>
      <c r="E27" s="401"/>
      <c r="F27" s="403"/>
      <c r="G27" s="403"/>
      <c r="H27" s="403"/>
      <c r="I27" s="403"/>
      <c r="J27" s="538"/>
      <c r="K27" s="539"/>
    </row>
    <row r="28" spans="2:11" x14ac:dyDescent="0.25">
      <c r="B28" s="362"/>
      <c r="C28" s="360"/>
      <c r="D28" s="401"/>
      <c r="E28" s="401"/>
      <c r="F28" s="403"/>
      <c r="G28" s="403"/>
      <c r="H28" s="403"/>
      <c r="I28" s="403"/>
      <c r="J28" s="538"/>
      <c r="K28" s="539"/>
    </row>
  </sheetData>
  <mergeCells count="26">
    <mergeCell ref="F27:I27"/>
    <mergeCell ref="F28:I28"/>
    <mergeCell ref="B20:D20"/>
    <mergeCell ref="B21:D21"/>
    <mergeCell ref="B22:D22"/>
    <mergeCell ref="F21:I21"/>
    <mergeCell ref="F22:I22"/>
    <mergeCell ref="F26:I26"/>
    <mergeCell ref="B13:C13"/>
    <mergeCell ref="B14:C14"/>
    <mergeCell ref="B15:C15"/>
    <mergeCell ref="F20:I20"/>
    <mergeCell ref="H13:K13"/>
    <mergeCell ref="A1:K1"/>
    <mergeCell ref="F2:F4"/>
    <mergeCell ref="H2:H4"/>
    <mergeCell ref="I2:I4"/>
    <mergeCell ref="J2:J4"/>
    <mergeCell ref="K2:K4"/>
    <mergeCell ref="A2:A4"/>
    <mergeCell ref="A10:E10"/>
    <mergeCell ref="A11:I11"/>
    <mergeCell ref="B2:B4"/>
    <mergeCell ref="C2:C4"/>
    <mergeCell ref="D2:D4"/>
    <mergeCell ref="E2:E4"/>
  </mergeCells>
  <printOptions horizontalCentered="1"/>
  <pageMargins left="0.43307086614173229" right="0.55118110236220474" top="1.1417322834645669" bottom="1.1417322834645669" header="0.31496062992125984" footer="0.31496062992125984"/>
  <pageSetup paperSize="9" scale="68"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8"/>
  <sheetViews>
    <sheetView view="pageBreakPreview" zoomScaleNormal="84" zoomScaleSheetLayoutView="100" workbookViewId="0">
      <selection sqref="A1:K1"/>
    </sheetView>
  </sheetViews>
  <sheetFormatPr defaultRowHeight="15" x14ac:dyDescent="0.25"/>
  <cols>
    <col min="1" max="1" width="4.85546875" style="14" customWidth="1"/>
    <col min="2" max="2" width="11.7109375" style="4" customWidth="1"/>
    <col min="3" max="3" width="9.85546875" style="1" customWidth="1"/>
    <col min="4" max="4" width="42.5703125" style="2" customWidth="1"/>
    <col min="5" max="5" width="7.5703125" style="1" customWidth="1"/>
    <col min="6" max="6" width="9.140625" style="4"/>
    <col min="7" max="7" width="9.140625" style="15"/>
    <col min="8" max="8" width="10.85546875" style="51" customWidth="1"/>
    <col min="9" max="9" width="12.5703125" style="48" customWidth="1"/>
    <col min="10" max="10" width="13.85546875" style="42" bestFit="1" customWidth="1"/>
    <col min="11" max="11" width="9.140625" style="8"/>
    <col min="13" max="13" width="9.140625" style="119"/>
  </cols>
  <sheetData>
    <row r="1" spans="1:13" ht="36" customHeight="1" thickBot="1" x14ac:dyDescent="0.3">
      <c r="A1" s="500" t="s">
        <v>145</v>
      </c>
      <c r="B1" s="501"/>
      <c r="C1" s="501"/>
      <c r="D1" s="501"/>
      <c r="E1" s="501"/>
      <c r="F1" s="501"/>
      <c r="G1" s="501"/>
      <c r="H1" s="501"/>
      <c r="I1" s="501"/>
      <c r="J1" s="501"/>
      <c r="K1" s="502"/>
    </row>
    <row r="2" spans="1:13" ht="42" customHeight="1" x14ac:dyDescent="0.25">
      <c r="A2" s="494" t="s">
        <v>20</v>
      </c>
      <c r="B2" s="473" t="s">
        <v>21</v>
      </c>
      <c r="C2" s="473" t="s">
        <v>6</v>
      </c>
      <c r="D2" s="476" t="s">
        <v>27</v>
      </c>
      <c r="E2" s="479" t="s">
        <v>22</v>
      </c>
      <c r="F2" s="479" t="s">
        <v>65</v>
      </c>
      <c r="G2" s="115" t="s">
        <v>74</v>
      </c>
      <c r="H2" s="479" t="s">
        <v>23</v>
      </c>
      <c r="I2" s="485" t="s">
        <v>24</v>
      </c>
      <c r="J2" s="488" t="s">
        <v>40</v>
      </c>
      <c r="K2" s="491" t="s">
        <v>25</v>
      </c>
    </row>
    <row r="3" spans="1:13" ht="29.25" customHeight="1" x14ac:dyDescent="0.25">
      <c r="A3" s="495"/>
      <c r="B3" s="474"/>
      <c r="C3" s="474"/>
      <c r="D3" s="477"/>
      <c r="E3" s="480"/>
      <c r="F3" s="480"/>
      <c r="G3" s="116">
        <v>20.09</v>
      </c>
      <c r="H3" s="480"/>
      <c r="I3" s="486"/>
      <c r="J3" s="489"/>
      <c r="K3" s="492"/>
      <c r="L3">
        <v>1.2009000000000001</v>
      </c>
    </row>
    <row r="4" spans="1:13" ht="9.75" customHeight="1" x14ac:dyDescent="0.25">
      <c r="A4" s="496"/>
      <c r="B4" s="475"/>
      <c r="C4" s="475"/>
      <c r="D4" s="478"/>
      <c r="E4" s="481"/>
      <c r="F4" s="481"/>
      <c r="G4" s="99">
        <f>(G3/100)+1</f>
        <v>1.2009000000000001</v>
      </c>
      <c r="H4" s="481"/>
      <c r="I4" s="487"/>
      <c r="J4" s="490"/>
      <c r="K4" s="493"/>
    </row>
    <row r="5" spans="1:13" x14ac:dyDescent="0.25">
      <c r="A5" s="79" t="s">
        <v>84</v>
      </c>
      <c r="B5" s="67"/>
      <c r="C5" s="81"/>
      <c r="D5" s="82" t="s">
        <v>13</v>
      </c>
      <c r="E5" s="83"/>
      <c r="F5" s="83"/>
      <c r="G5" s="83"/>
      <c r="H5" s="57"/>
      <c r="I5" s="49"/>
      <c r="J5" s="84"/>
      <c r="K5" s="85"/>
    </row>
    <row r="6" spans="1:13" ht="26.25" x14ac:dyDescent="0.25">
      <c r="A6" s="88" t="s">
        <v>85</v>
      </c>
      <c r="B6" s="125" t="s">
        <v>100</v>
      </c>
      <c r="C6" s="144"/>
      <c r="D6" s="31" t="s">
        <v>68</v>
      </c>
      <c r="E6" s="144"/>
      <c r="F6" s="137"/>
      <c r="G6" s="137"/>
      <c r="H6" s="137"/>
      <c r="I6" s="140"/>
      <c r="J6" s="140"/>
      <c r="K6" s="147"/>
    </row>
    <row r="7" spans="1:13" ht="27.75" customHeight="1" x14ac:dyDescent="0.25">
      <c r="A7" s="72" t="s">
        <v>31</v>
      </c>
      <c r="B7" s="125" t="s">
        <v>100</v>
      </c>
      <c r="C7" s="126" t="s">
        <v>7</v>
      </c>
      <c r="D7" s="21" t="e">
        <f>LOOKUP(C7,#REF!,#REF!)</f>
        <v>#REF!</v>
      </c>
      <c r="E7" s="22" t="e">
        <f>LOOKUP(C7,#REF!,#REF!)</f>
        <v>#REF!</v>
      </c>
      <c r="F7" s="137"/>
      <c r="G7" s="138">
        <f>F7*$L$3</f>
        <v>0</v>
      </c>
      <c r="H7" s="137">
        <f>H8*0.3</f>
        <v>1.2</v>
      </c>
      <c r="I7" s="139">
        <f>G7*H7</f>
        <v>0</v>
      </c>
      <c r="J7" s="140"/>
      <c r="K7" s="132" t="e">
        <f>I7/J31</f>
        <v>#DIV/0!</v>
      </c>
      <c r="M7" s="119">
        <f t="shared" ref="M7:M21" si="0">F7*0.765</f>
        <v>0</v>
      </c>
    </row>
    <row r="8" spans="1:13" ht="27" thickBot="1" x14ac:dyDescent="0.3">
      <c r="A8" s="72" t="s">
        <v>32</v>
      </c>
      <c r="B8" s="125" t="s">
        <v>100</v>
      </c>
      <c r="C8" s="128" t="s">
        <v>98</v>
      </c>
      <c r="D8" s="21" t="e">
        <f>LOOKUP(C8,#REF!,#REF!)</f>
        <v>#REF!</v>
      </c>
      <c r="E8" s="22" t="e">
        <f>LOOKUP(C8,#REF!,#REF!)</f>
        <v>#REF!</v>
      </c>
      <c r="F8" s="137"/>
      <c r="G8" s="138">
        <f>F8*$L$3</f>
        <v>0</v>
      </c>
      <c r="H8" s="137">
        <v>4</v>
      </c>
      <c r="I8" s="139">
        <f>G8*H8</f>
        <v>0</v>
      </c>
      <c r="J8" s="140"/>
      <c r="K8" s="132" t="e">
        <f>I8/J31</f>
        <v>#DIV/0!</v>
      </c>
      <c r="M8" s="119">
        <f t="shared" si="0"/>
        <v>0</v>
      </c>
    </row>
    <row r="9" spans="1:13" ht="15.75" thickBot="1" x14ac:dyDescent="0.3">
      <c r="A9" s="467"/>
      <c r="B9" s="468"/>
      <c r="C9" s="468"/>
      <c r="D9" s="468"/>
      <c r="E9" s="469"/>
      <c r="F9" s="74"/>
      <c r="G9" s="74"/>
      <c r="H9" s="58" t="s">
        <v>73</v>
      </c>
      <c r="I9" s="46"/>
      <c r="J9" s="75">
        <f>SUM(I7:I8)</f>
        <v>0</v>
      </c>
      <c r="K9" s="76" t="e">
        <f>J9/J31</f>
        <v>#DIV/0!</v>
      </c>
      <c r="M9" s="119">
        <f t="shared" si="0"/>
        <v>0</v>
      </c>
    </row>
    <row r="10" spans="1:13" x14ac:dyDescent="0.25">
      <c r="A10" s="34" t="s">
        <v>86</v>
      </c>
      <c r="B10" s="144"/>
      <c r="C10" s="26"/>
      <c r="D10" s="91" t="s">
        <v>78</v>
      </c>
      <c r="E10" s="35"/>
      <c r="F10" s="137"/>
      <c r="G10" s="137"/>
      <c r="H10" s="137"/>
      <c r="I10" s="140"/>
      <c r="J10" s="140"/>
      <c r="K10" s="147"/>
      <c r="M10" s="119">
        <f t="shared" si="0"/>
        <v>0</v>
      </c>
    </row>
    <row r="11" spans="1:13" ht="27" thickBot="1" x14ac:dyDescent="0.3">
      <c r="A11" s="129" t="s">
        <v>33</v>
      </c>
      <c r="B11" s="125" t="s">
        <v>100</v>
      </c>
      <c r="C11" s="126" t="s">
        <v>1</v>
      </c>
      <c r="D11" s="21" t="e">
        <f>LOOKUP(C11,#REF!,#REF!)</f>
        <v>#REF!</v>
      </c>
      <c r="E11" s="22" t="e">
        <f>LOOKUP(C11,#REF!,#REF!)</f>
        <v>#REF!</v>
      </c>
      <c r="F11" s="137"/>
      <c r="G11" s="138">
        <f>F11*$L$3</f>
        <v>0</v>
      </c>
      <c r="H11" s="137">
        <v>3103.1</v>
      </c>
      <c r="I11" s="139">
        <f>G11*H11</f>
        <v>0</v>
      </c>
      <c r="J11" s="140"/>
      <c r="K11" s="132" t="e">
        <f>I11/J31</f>
        <v>#DIV/0!</v>
      </c>
      <c r="M11" s="119">
        <f t="shared" si="0"/>
        <v>0</v>
      </c>
    </row>
    <row r="12" spans="1:13" ht="15.75" thickBot="1" x14ac:dyDescent="0.3">
      <c r="A12" s="92"/>
      <c r="B12" s="65"/>
      <c r="C12" s="65"/>
      <c r="D12" s="37"/>
      <c r="E12" s="66"/>
      <c r="F12" s="74"/>
      <c r="G12" s="74"/>
      <c r="H12" s="58" t="s">
        <v>61</v>
      </c>
      <c r="I12" s="46"/>
      <c r="J12" s="75">
        <f>SUM(I11:I11)</f>
        <v>0</v>
      </c>
      <c r="K12" s="76" t="e">
        <f>J12/J31</f>
        <v>#DIV/0!</v>
      </c>
    </row>
    <row r="13" spans="1:13" x14ac:dyDescent="0.25">
      <c r="A13" s="27">
        <v>4</v>
      </c>
      <c r="B13" s="86"/>
      <c r="C13" s="26"/>
      <c r="D13" s="91" t="s">
        <v>15</v>
      </c>
      <c r="E13" s="26"/>
      <c r="F13" s="23"/>
      <c r="G13" s="23"/>
      <c r="H13" s="23"/>
      <c r="I13" s="47"/>
      <c r="J13" s="47"/>
      <c r="K13" s="87"/>
    </row>
    <row r="14" spans="1:13" ht="45.75" customHeight="1" x14ac:dyDescent="0.25">
      <c r="A14" s="129" t="s">
        <v>37</v>
      </c>
      <c r="B14" s="125" t="s">
        <v>100</v>
      </c>
      <c r="C14" s="126" t="s">
        <v>3</v>
      </c>
      <c r="D14" s="21" t="e">
        <f>LOOKUP(C14,#REF!,#REF!)</f>
        <v>#REF!</v>
      </c>
      <c r="E14" s="22" t="e">
        <f>LOOKUP(C14,#REF!,#REF!)</f>
        <v>#REF!</v>
      </c>
      <c r="F14" s="137"/>
      <c r="G14" s="138">
        <f>F14*$L$3</f>
        <v>0</v>
      </c>
      <c r="H14" s="137">
        <f>H11</f>
        <v>3103.1</v>
      </c>
      <c r="I14" s="139">
        <f>G14*H14</f>
        <v>0</v>
      </c>
      <c r="J14" s="140"/>
      <c r="K14" s="132" t="e">
        <f>I14/J31</f>
        <v>#DIV/0!</v>
      </c>
      <c r="M14" s="119">
        <f t="shared" si="0"/>
        <v>0</v>
      </c>
    </row>
    <row r="15" spans="1:13" s="298" customFormat="1" ht="77.25" x14ac:dyDescent="0.25">
      <c r="A15" s="129" t="s">
        <v>38</v>
      </c>
      <c r="B15" s="312" t="s">
        <v>101</v>
      </c>
      <c r="C15" s="318">
        <v>94275</v>
      </c>
      <c r="D15" s="319" t="s">
        <v>77</v>
      </c>
      <c r="E15" s="318" t="s">
        <v>0</v>
      </c>
      <c r="F15" s="309"/>
      <c r="G15" s="152">
        <f>F15*G4</f>
        <v>0</v>
      </c>
      <c r="H15" s="309">
        <v>96</v>
      </c>
      <c r="I15" s="139">
        <f>G15*H15</f>
        <v>0</v>
      </c>
      <c r="J15" s="310"/>
      <c r="K15" s="303" t="e">
        <f>I15/J31</f>
        <v>#DIV/0!</v>
      </c>
      <c r="M15" s="299">
        <f t="shared" si="0"/>
        <v>0</v>
      </c>
    </row>
    <row r="16" spans="1:13" s="311" customFormat="1" x14ac:dyDescent="0.25">
      <c r="A16" s="129" t="s">
        <v>39</v>
      </c>
      <c r="B16" s="318" t="s">
        <v>66</v>
      </c>
      <c r="C16" s="305">
        <v>62304</v>
      </c>
      <c r="D16" s="306" t="s">
        <v>67</v>
      </c>
      <c r="E16" s="307" t="s">
        <v>12</v>
      </c>
      <c r="F16" s="308"/>
      <c r="G16" s="152">
        <f>F16*G4</f>
        <v>0</v>
      </c>
      <c r="H16" s="309">
        <v>1</v>
      </c>
      <c r="I16" s="139">
        <f>G16*H16</f>
        <v>0</v>
      </c>
      <c r="J16" s="310"/>
      <c r="K16" s="303"/>
      <c r="M16" s="304">
        <f t="shared" si="0"/>
        <v>0</v>
      </c>
    </row>
    <row r="17" spans="1:14" ht="27" thickBot="1" x14ac:dyDescent="0.3">
      <c r="A17" s="129" t="s">
        <v>110</v>
      </c>
      <c r="B17" s="125" t="s">
        <v>100</v>
      </c>
      <c r="C17" s="22" t="s">
        <v>2</v>
      </c>
      <c r="D17" s="21" t="e">
        <f>LOOKUP(C17,#REF!,#REF!)</f>
        <v>#REF!</v>
      </c>
      <c r="E17" s="22" t="e">
        <f>LOOKUP(C17,#REF!,#REF!)</f>
        <v>#REF!</v>
      </c>
      <c r="F17" s="137"/>
      <c r="G17" s="138">
        <f>F17*$L$3</f>
        <v>0</v>
      </c>
      <c r="H17" s="137">
        <f>H15*0.3*0.11</f>
        <v>3.1679999999999997</v>
      </c>
      <c r="I17" s="139">
        <f>G17*H17</f>
        <v>0</v>
      </c>
      <c r="J17" s="140"/>
      <c r="K17" s="132" t="e">
        <f>I17/J31</f>
        <v>#DIV/0!</v>
      </c>
      <c r="M17" s="119">
        <f t="shared" si="0"/>
        <v>0</v>
      </c>
    </row>
    <row r="18" spans="1:14" ht="15.75" thickBot="1" x14ac:dyDescent="0.3">
      <c r="A18" s="92"/>
      <c r="B18" s="65"/>
      <c r="C18" s="65"/>
      <c r="D18" s="37"/>
      <c r="E18" s="66"/>
      <c r="F18" s="74"/>
      <c r="G18" s="74"/>
      <c r="H18" s="58" t="s">
        <v>62</v>
      </c>
      <c r="I18" s="46"/>
      <c r="J18" s="75">
        <f>SUM(I14:I17)</f>
        <v>0</v>
      </c>
      <c r="K18" s="76" t="e">
        <f>J18/J31</f>
        <v>#DIV/0!</v>
      </c>
    </row>
    <row r="19" spans="1:14" x14ac:dyDescent="0.25">
      <c r="A19" s="34" t="s">
        <v>88</v>
      </c>
      <c r="B19" s="86"/>
      <c r="C19" s="26"/>
      <c r="D19" s="39" t="s">
        <v>115</v>
      </c>
      <c r="E19" s="26"/>
      <c r="F19" s="23"/>
      <c r="G19" s="23"/>
      <c r="H19" s="23"/>
      <c r="I19" s="47"/>
      <c r="J19" s="47"/>
      <c r="K19" s="87"/>
    </row>
    <row r="20" spans="1:14" s="298" customFormat="1" ht="39" x14ac:dyDescent="0.25">
      <c r="A20" s="301" t="s">
        <v>41</v>
      </c>
      <c r="B20" s="312" t="s">
        <v>101</v>
      </c>
      <c r="C20" s="318">
        <v>72947</v>
      </c>
      <c r="D20" s="319" t="s">
        <v>165</v>
      </c>
      <c r="E20" s="316" t="s">
        <v>9</v>
      </c>
      <c r="F20" s="309"/>
      <c r="G20" s="152">
        <f>F20*G4</f>
        <v>0</v>
      </c>
      <c r="H20" s="309">
        <v>38.4</v>
      </c>
      <c r="I20" s="302">
        <f>G20*H20</f>
        <v>0</v>
      </c>
      <c r="J20" s="310"/>
      <c r="K20" s="303" t="e">
        <f>I20/J31</f>
        <v>#DIV/0!</v>
      </c>
      <c r="M20" s="299">
        <f t="shared" si="0"/>
        <v>0</v>
      </c>
    </row>
    <row r="21" spans="1:14" x14ac:dyDescent="0.25">
      <c r="A21" s="301" t="s">
        <v>42</v>
      </c>
      <c r="B21" s="125" t="s">
        <v>100</v>
      </c>
      <c r="C21" s="134" t="s">
        <v>19</v>
      </c>
      <c r="D21" s="21" t="e">
        <f>LOOKUP(C21,#REF!,#REF!)</f>
        <v>#REF!</v>
      </c>
      <c r="E21" s="22" t="e">
        <f>LOOKUP(C21,#REF!,#REF!)</f>
        <v>#REF!</v>
      </c>
      <c r="F21" s="142"/>
      <c r="G21" s="138">
        <f>F21*$L$3</f>
        <v>0</v>
      </c>
      <c r="H21" s="137">
        <f>4*3</f>
        <v>12</v>
      </c>
      <c r="I21" s="302">
        <f t="shared" ref="I21:I29" si="1">G21*H21</f>
        <v>0</v>
      </c>
      <c r="J21" s="140"/>
      <c r="K21" s="132" t="e">
        <f>I21/J31</f>
        <v>#DIV/0!</v>
      </c>
      <c r="M21" s="119">
        <f t="shared" si="0"/>
        <v>0</v>
      </c>
    </row>
    <row r="22" spans="1:14" ht="26.25" x14ac:dyDescent="0.25">
      <c r="A22" s="301" t="s">
        <v>43</v>
      </c>
      <c r="B22" s="125" t="s">
        <v>100</v>
      </c>
      <c r="C22" s="134" t="s">
        <v>95</v>
      </c>
      <c r="D22" s="21" t="e">
        <f>LOOKUP(C22,#REF!,#REF!)</f>
        <v>#REF!</v>
      </c>
      <c r="E22" s="22" t="e">
        <f>LOOKUP(C22,#REF!,#REF!)</f>
        <v>#REF!</v>
      </c>
      <c r="F22" s="142"/>
      <c r="G22" s="138">
        <f>F22*$L$3</f>
        <v>0</v>
      </c>
      <c r="H22" s="137">
        <f>4*0.5</f>
        <v>2</v>
      </c>
      <c r="I22" s="302">
        <f>G22*H22</f>
        <v>0</v>
      </c>
      <c r="J22" s="140"/>
      <c r="K22" s="132" t="e">
        <f>I22/J31</f>
        <v>#DIV/0!</v>
      </c>
      <c r="N22" t="s">
        <v>116</v>
      </c>
    </row>
    <row r="23" spans="1:14" s="300" customFormat="1" ht="26.25" x14ac:dyDescent="0.25">
      <c r="A23" s="301" t="s">
        <v>44</v>
      </c>
      <c r="B23" s="312" t="s">
        <v>101</v>
      </c>
      <c r="C23" s="313" t="s">
        <v>99</v>
      </c>
      <c r="D23" s="314" t="s">
        <v>57</v>
      </c>
      <c r="E23" s="315" t="s">
        <v>12</v>
      </c>
      <c r="F23" s="309"/>
      <c r="G23" s="152">
        <f>F23*G4</f>
        <v>0</v>
      </c>
      <c r="H23" s="309">
        <v>8</v>
      </c>
      <c r="I23" s="302">
        <f t="shared" si="1"/>
        <v>0</v>
      </c>
      <c r="J23" s="310"/>
      <c r="K23" s="303" t="e">
        <f>I23/J31</f>
        <v>#DIV/0!</v>
      </c>
      <c r="N23" s="299">
        <v>8</v>
      </c>
    </row>
    <row r="24" spans="1:14" s="6" customFormat="1" ht="30" customHeight="1" x14ac:dyDescent="0.25">
      <c r="A24" s="301" t="s">
        <v>45</v>
      </c>
      <c r="B24" s="125" t="s">
        <v>100</v>
      </c>
      <c r="C24" s="126" t="s">
        <v>10</v>
      </c>
      <c r="D24" s="21" t="s">
        <v>164</v>
      </c>
      <c r="E24" s="22" t="e">
        <f>LOOKUP(C24,#REF!,#REF!)</f>
        <v>#REF!</v>
      </c>
      <c r="F24" s="142"/>
      <c r="G24" s="138">
        <f>F24*$L$3</f>
        <v>0</v>
      </c>
      <c r="H24" s="137">
        <v>294.3</v>
      </c>
      <c r="I24" s="302">
        <f t="shared" si="1"/>
        <v>0</v>
      </c>
      <c r="J24" s="140"/>
      <c r="K24" s="132" t="e">
        <f t="shared" ref="K24:K29" si="2">I24/$J$31</f>
        <v>#DIV/0!</v>
      </c>
      <c r="N24" s="119">
        <f>F24*0.765</f>
        <v>0</v>
      </c>
    </row>
    <row r="25" spans="1:14" s="6" customFormat="1" ht="30" customHeight="1" x14ac:dyDescent="0.25">
      <c r="A25" s="301" t="s">
        <v>46</v>
      </c>
      <c r="B25" s="125" t="s">
        <v>100</v>
      </c>
      <c r="C25" s="128" t="s">
        <v>96</v>
      </c>
      <c r="D25" s="201" t="e">
        <f>LOOKUP(C25,#REF!,#REF!)</f>
        <v>#REF!</v>
      </c>
      <c r="E25" s="200" t="e">
        <f>LOOKUP(C25,#REF!,#REF!)</f>
        <v>#REF!</v>
      </c>
      <c r="F25" s="202"/>
      <c r="G25" s="138">
        <f>F25*G4</f>
        <v>0</v>
      </c>
      <c r="H25" s="353">
        <f>1.13*N23</f>
        <v>9.0399999999999991</v>
      </c>
      <c r="I25" s="139">
        <f t="shared" si="1"/>
        <v>0</v>
      </c>
      <c r="J25" s="212"/>
      <c r="K25" s="132" t="e">
        <f t="shared" si="2"/>
        <v>#DIV/0!</v>
      </c>
      <c r="M25" s="119"/>
    </row>
    <row r="26" spans="1:14" s="6" customFormat="1" ht="38.25" x14ac:dyDescent="0.25">
      <c r="A26" s="301" t="s">
        <v>117</v>
      </c>
      <c r="B26" s="125" t="s">
        <v>100</v>
      </c>
      <c r="C26" s="128" t="s">
        <v>97</v>
      </c>
      <c r="D26" s="201" t="e">
        <f>LOOKUP(C26,#REF!,#REF!)</f>
        <v>#REF!</v>
      </c>
      <c r="E26" s="200" t="e">
        <f>LOOKUP(C26,#REF!,#REF!)</f>
        <v>#REF!</v>
      </c>
      <c r="F26" s="202"/>
      <c r="G26" s="138">
        <f>F26*G4</f>
        <v>0</v>
      </c>
      <c r="H26" s="353">
        <f>1.13*N23</f>
        <v>9.0399999999999991</v>
      </c>
      <c r="I26" s="139">
        <f t="shared" si="1"/>
        <v>0</v>
      </c>
      <c r="J26" s="212"/>
      <c r="K26" s="132" t="e">
        <f t="shared" si="2"/>
        <v>#DIV/0!</v>
      </c>
      <c r="M26" s="119"/>
    </row>
    <row r="27" spans="1:14" s="6" customFormat="1" ht="30" customHeight="1" x14ac:dyDescent="0.25">
      <c r="A27" s="301" t="s">
        <v>118</v>
      </c>
      <c r="B27" s="125" t="s">
        <v>100</v>
      </c>
      <c r="C27" s="128" t="s">
        <v>94</v>
      </c>
      <c r="D27" s="201" t="e">
        <f>LOOKUP(C27,#REF!,#REF!)</f>
        <v>#REF!</v>
      </c>
      <c r="E27" s="200" t="e">
        <f>LOOKUP(C27,#REF!,#REF!)</f>
        <v>#REF!</v>
      </c>
      <c r="F27" s="202"/>
      <c r="G27" s="138">
        <f>F27*G4</f>
        <v>0</v>
      </c>
      <c r="H27" s="353">
        <f>0.26*N23</f>
        <v>2.08</v>
      </c>
      <c r="I27" s="139">
        <f t="shared" si="1"/>
        <v>0</v>
      </c>
      <c r="J27" s="212"/>
      <c r="K27" s="132" t="e">
        <f t="shared" si="2"/>
        <v>#DIV/0!</v>
      </c>
      <c r="M27" s="119"/>
    </row>
    <row r="28" spans="1:14" s="6" customFormat="1" ht="30" customHeight="1" x14ac:dyDescent="0.25">
      <c r="A28" s="301" t="s">
        <v>119</v>
      </c>
      <c r="B28" s="125" t="s">
        <v>100</v>
      </c>
      <c r="C28" s="128" t="s">
        <v>92</v>
      </c>
      <c r="D28" s="201" t="e">
        <f>LOOKUP(C28,#REF!,#REF!)</f>
        <v>#REF!</v>
      </c>
      <c r="E28" s="200" t="e">
        <f>LOOKUP(C28,#REF!,#REF!)</f>
        <v>#REF!</v>
      </c>
      <c r="F28" s="202"/>
      <c r="G28" s="138">
        <f>F28*G4</f>
        <v>0</v>
      </c>
      <c r="H28" s="353">
        <f>0.97*N23</f>
        <v>7.76</v>
      </c>
      <c r="I28" s="139">
        <f t="shared" si="1"/>
        <v>0</v>
      </c>
      <c r="J28" s="212"/>
      <c r="K28" s="132" t="e">
        <f t="shared" si="2"/>
        <v>#DIV/0!</v>
      </c>
      <c r="M28" s="119"/>
    </row>
    <row r="29" spans="1:14" s="6" customFormat="1" ht="30" customHeight="1" thickBot="1" x14ac:dyDescent="0.3">
      <c r="A29" s="301" t="s">
        <v>120</v>
      </c>
      <c r="B29" s="125" t="s">
        <v>100</v>
      </c>
      <c r="C29" s="128" t="s">
        <v>93</v>
      </c>
      <c r="D29" s="201" t="e">
        <f>LOOKUP(C29,#REF!,#REF!)</f>
        <v>#REF!</v>
      </c>
      <c r="E29" s="200" t="e">
        <f>LOOKUP(C29,#REF!,#REF!)</f>
        <v>#REF!</v>
      </c>
      <c r="F29" s="202"/>
      <c r="G29" s="138">
        <f>F29*G4</f>
        <v>0</v>
      </c>
      <c r="H29" s="353">
        <f>0.97*N23</f>
        <v>7.76</v>
      </c>
      <c r="I29" s="139">
        <f t="shared" si="1"/>
        <v>0</v>
      </c>
      <c r="J29" s="212"/>
      <c r="K29" s="132" t="e">
        <f t="shared" si="2"/>
        <v>#DIV/0!</v>
      </c>
      <c r="M29" s="119"/>
    </row>
    <row r="30" spans="1:14" s="6" customFormat="1" ht="15.75" customHeight="1" thickBot="1" x14ac:dyDescent="0.3">
      <c r="A30" s="467"/>
      <c r="B30" s="468"/>
      <c r="C30" s="468"/>
      <c r="D30" s="468"/>
      <c r="E30" s="469"/>
      <c r="F30" s="74"/>
      <c r="G30" s="74"/>
      <c r="H30" s="58" t="s">
        <v>63</v>
      </c>
      <c r="I30" s="46"/>
      <c r="J30" s="75">
        <f>SUM(I20:I29)</f>
        <v>0</v>
      </c>
      <c r="K30" s="76" t="e">
        <f>J30/J31</f>
        <v>#DIV/0!</v>
      </c>
      <c r="M30" s="186"/>
    </row>
    <row r="31" spans="1:14" ht="27.75" customHeight="1" thickBot="1" x14ac:dyDescent="0.3">
      <c r="A31" s="470" t="s">
        <v>127</v>
      </c>
      <c r="B31" s="471"/>
      <c r="C31" s="471"/>
      <c r="D31" s="471"/>
      <c r="E31" s="471"/>
      <c r="F31" s="471"/>
      <c r="G31" s="471"/>
      <c r="H31" s="471"/>
      <c r="I31" s="472"/>
      <c r="J31" s="77">
        <f>SUM(J5:J30)</f>
        <v>0</v>
      </c>
      <c r="K31" s="78" t="e">
        <f>K9+K12+K18+K30</f>
        <v>#DIV/0!</v>
      </c>
    </row>
    <row r="32" spans="1:14" ht="15.75" x14ac:dyDescent="0.25">
      <c r="A32" s="374"/>
      <c r="B32" s="375"/>
      <c r="C32" s="375"/>
      <c r="D32" s="375"/>
      <c r="E32" s="375"/>
      <c r="F32" s="375"/>
      <c r="G32" s="375"/>
      <c r="H32" s="375"/>
      <c r="I32" s="375"/>
      <c r="J32" s="376"/>
      <c r="K32" s="377"/>
    </row>
    <row r="33" spans="1:11" ht="15.75" x14ac:dyDescent="0.25">
      <c r="A33" s="384"/>
      <c r="B33" s="385" t="s">
        <v>140</v>
      </c>
      <c r="C33" s="386"/>
      <c r="D33" s="386"/>
      <c r="E33" s="386"/>
      <c r="F33" s="386"/>
      <c r="G33" s="386"/>
      <c r="H33" s="386"/>
      <c r="I33" s="386"/>
      <c r="J33" s="387"/>
      <c r="K33" s="388"/>
    </row>
    <row r="34" spans="1:11" x14ac:dyDescent="0.25">
      <c r="A34" s="368"/>
      <c r="B34" s="497" t="s">
        <v>102</v>
      </c>
      <c r="C34" s="497"/>
      <c r="D34" s="378"/>
      <c r="E34" s="368"/>
      <c r="F34" s="372"/>
      <c r="G34" s="372"/>
      <c r="H34" s="413" t="s">
        <v>167</v>
      </c>
      <c r="I34" s="413"/>
      <c r="J34" s="413"/>
      <c r="K34" s="413"/>
    </row>
    <row r="35" spans="1:11" x14ac:dyDescent="0.25">
      <c r="B35" s="498" t="s">
        <v>103</v>
      </c>
      <c r="C35" s="498"/>
    </row>
    <row r="36" spans="1:11" x14ac:dyDescent="0.25">
      <c r="B36" s="498" t="s">
        <v>104</v>
      </c>
      <c r="C36" s="498"/>
      <c r="J36" s="185"/>
    </row>
    <row r="39" spans="1:11" x14ac:dyDescent="0.25">
      <c r="C39" s="399"/>
      <c r="D39" s="378"/>
      <c r="E39" s="399"/>
      <c r="F39" s="372"/>
      <c r="G39" s="372"/>
      <c r="H39" s="372"/>
      <c r="I39" s="537"/>
      <c r="J39" s="538"/>
      <c r="K39" s="539"/>
    </row>
    <row r="40" spans="1:11" x14ac:dyDescent="0.25">
      <c r="C40" s="403"/>
      <c r="D40" s="403"/>
      <c r="E40" s="402"/>
      <c r="F40" s="533"/>
      <c r="G40" s="403"/>
      <c r="H40" s="403"/>
      <c r="I40" s="403"/>
      <c r="J40" s="403"/>
      <c r="K40" s="539"/>
    </row>
    <row r="41" spans="1:11" x14ac:dyDescent="0.25">
      <c r="C41" s="403"/>
      <c r="D41" s="403"/>
      <c r="E41" s="401"/>
      <c r="F41" s="536"/>
      <c r="G41" s="403"/>
      <c r="H41" s="403"/>
      <c r="I41" s="403"/>
      <c r="J41" s="403"/>
      <c r="K41" s="539"/>
    </row>
    <row r="42" spans="1:11" x14ac:dyDescent="0.25">
      <c r="C42" s="403"/>
      <c r="D42" s="403"/>
      <c r="E42" s="401"/>
      <c r="F42" s="401"/>
      <c r="G42" s="503"/>
      <c r="H42" s="503"/>
      <c r="I42" s="503"/>
      <c r="J42" s="503"/>
      <c r="K42" s="539"/>
    </row>
    <row r="43" spans="1:11" x14ac:dyDescent="0.25">
      <c r="C43" s="362"/>
      <c r="D43" s="360"/>
      <c r="E43" s="401"/>
      <c r="F43" s="401"/>
      <c r="G43" s="6"/>
      <c r="H43" s="243"/>
      <c r="I43" s="244"/>
      <c r="J43" s="241"/>
      <c r="K43" s="539"/>
    </row>
    <row r="44" spans="1:11" x14ac:dyDescent="0.25">
      <c r="C44" s="362"/>
      <c r="D44" s="360"/>
      <c r="E44" s="401"/>
      <c r="F44" s="401"/>
      <c r="G44" s="6"/>
      <c r="H44" s="243"/>
      <c r="I44" s="244"/>
      <c r="J44" s="241"/>
      <c r="K44" s="539"/>
    </row>
    <row r="45" spans="1:11" x14ac:dyDescent="0.25">
      <c r="C45" s="362"/>
      <c r="D45" s="360"/>
      <c r="E45" s="401"/>
      <c r="F45" s="401"/>
      <c r="G45" s="6"/>
      <c r="H45" s="243"/>
      <c r="I45" s="244"/>
      <c r="J45" s="241"/>
      <c r="K45" s="539"/>
    </row>
    <row r="46" spans="1:11" x14ac:dyDescent="0.25">
      <c r="C46" s="362"/>
      <c r="D46" s="360"/>
      <c r="E46" s="401"/>
      <c r="F46" s="401"/>
      <c r="G46" s="403"/>
      <c r="H46" s="403"/>
      <c r="I46" s="403"/>
      <c r="J46" s="403"/>
      <c r="K46" s="539"/>
    </row>
    <row r="47" spans="1:11" x14ac:dyDescent="0.25">
      <c r="C47" s="362"/>
      <c r="D47" s="360"/>
      <c r="E47" s="401"/>
      <c r="F47" s="401"/>
      <c r="G47" s="403"/>
      <c r="H47" s="403"/>
      <c r="I47" s="403"/>
      <c r="J47" s="403"/>
      <c r="K47" s="539"/>
    </row>
    <row r="48" spans="1:11" x14ac:dyDescent="0.25">
      <c r="C48" s="362"/>
      <c r="D48" s="360"/>
      <c r="E48" s="401"/>
      <c r="F48" s="401"/>
      <c r="G48" s="403"/>
      <c r="H48" s="403"/>
      <c r="I48" s="403"/>
      <c r="J48" s="403"/>
      <c r="K48" s="539"/>
    </row>
  </sheetData>
  <mergeCells count="27">
    <mergeCell ref="G46:J46"/>
    <mergeCell ref="G47:J47"/>
    <mergeCell ref="G48:J48"/>
    <mergeCell ref="C40:D40"/>
    <mergeCell ref="G40:J40"/>
    <mergeCell ref="C41:D41"/>
    <mergeCell ref="G41:J41"/>
    <mergeCell ref="C42:D42"/>
    <mergeCell ref="G42:J42"/>
    <mergeCell ref="B36:C36"/>
    <mergeCell ref="B35:C35"/>
    <mergeCell ref="B34:C34"/>
    <mergeCell ref="H34:K34"/>
    <mergeCell ref="A31:I31"/>
    <mergeCell ref="A30:E30"/>
    <mergeCell ref="A1:K1"/>
    <mergeCell ref="A2:A4"/>
    <mergeCell ref="A9:E9"/>
    <mergeCell ref="H2:H4"/>
    <mergeCell ref="I2:I4"/>
    <mergeCell ref="J2:J4"/>
    <mergeCell ref="K2:K4"/>
    <mergeCell ref="B2:B4"/>
    <mergeCell ref="C2:C4"/>
    <mergeCell ref="D2:D4"/>
    <mergeCell ref="E2:E4"/>
    <mergeCell ref="F2:F4"/>
  </mergeCells>
  <pageMargins left="0.31496062992125984" right="0.35433070866141736" top="1.1811023622047245" bottom="1.1811023622047245" header="0.31496062992125984" footer="0.31496062992125984"/>
  <pageSetup paperSize="9" scale="63"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3"/>
  <sheetViews>
    <sheetView view="pageBreakPreview" zoomScaleNormal="84" zoomScaleSheetLayoutView="100" workbookViewId="0">
      <selection sqref="A1:K1"/>
    </sheetView>
  </sheetViews>
  <sheetFormatPr defaultRowHeight="15" x14ac:dyDescent="0.25"/>
  <cols>
    <col min="1" max="1" width="4.85546875" style="14" customWidth="1"/>
    <col min="2" max="2" width="11.7109375" style="52" customWidth="1"/>
    <col min="3" max="3" width="9.85546875" style="16" customWidth="1"/>
    <col min="4" max="4" width="42.5703125" style="2" customWidth="1"/>
    <col min="5" max="5" width="7.5703125" style="16" customWidth="1"/>
    <col min="6" max="7" width="9.140625" style="52"/>
    <col min="8" max="8" width="10.85546875" style="52" customWidth="1"/>
    <col min="9" max="9" width="12.5703125" style="48" customWidth="1"/>
    <col min="10" max="10" width="13.42578125" style="42" customWidth="1"/>
    <col min="11" max="11" width="9.140625" style="8"/>
  </cols>
  <sheetData>
    <row r="1" spans="1:13" ht="36" customHeight="1" thickBot="1" x14ac:dyDescent="0.3">
      <c r="A1" s="482" t="s">
        <v>146</v>
      </c>
      <c r="B1" s="483"/>
      <c r="C1" s="483"/>
      <c r="D1" s="483"/>
      <c r="E1" s="483"/>
      <c r="F1" s="483"/>
      <c r="G1" s="483"/>
      <c r="H1" s="483"/>
      <c r="I1" s="483"/>
      <c r="J1" s="483"/>
      <c r="K1" s="484"/>
    </row>
    <row r="2" spans="1:13" ht="42.75" customHeight="1" x14ac:dyDescent="0.25">
      <c r="A2" s="106" t="s">
        <v>20</v>
      </c>
      <c r="B2" s="107" t="s">
        <v>21</v>
      </c>
      <c r="C2" s="107" t="s">
        <v>6</v>
      </c>
      <c r="D2" s="108" t="s">
        <v>27</v>
      </c>
      <c r="E2" s="98" t="s">
        <v>22</v>
      </c>
      <c r="F2" s="98" t="s">
        <v>65</v>
      </c>
      <c r="G2" s="115" t="s">
        <v>74</v>
      </c>
      <c r="H2" s="98" t="s">
        <v>23</v>
      </c>
      <c r="I2" s="112" t="s">
        <v>24</v>
      </c>
      <c r="J2" s="109" t="s">
        <v>40</v>
      </c>
      <c r="K2" s="95" t="s">
        <v>25</v>
      </c>
    </row>
    <row r="3" spans="1:13" ht="22.5" customHeight="1" x14ac:dyDescent="0.25">
      <c r="A3" s="100"/>
      <c r="B3" s="101"/>
      <c r="C3" s="101"/>
      <c r="D3" s="102"/>
      <c r="E3" s="103"/>
      <c r="F3" s="103"/>
      <c r="G3" s="116">
        <v>20.09</v>
      </c>
      <c r="H3" s="103"/>
      <c r="I3" s="113"/>
      <c r="J3" s="104"/>
      <c r="K3" s="105"/>
      <c r="L3" s="327">
        <v>1.2009000000000001</v>
      </c>
    </row>
    <row r="4" spans="1:13" ht="9" customHeight="1" x14ac:dyDescent="0.25">
      <c r="A4" s="110"/>
      <c r="B4" s="17"/>
      <c r="C4" s="17"/>
      <c r="D4" s="97"/>
      <c r="E4" s="18"/>
      <c r="F4" s="18"/>
      <c r="G4" s="99">
        <f>(G3/100)+1</f>
        <v>1.2009000000000001</v>
      </c>
      <c r="H4" s="18"/>
      <c r="I4" s="114"/>
      <c r="J4" s="111"/>
      <c r="K4" s="96"/>
    </row>
    <row r="5" spans="1:13" x14ac:dyDescent="0.25">
      <c r="A5" s="79" t="s">
        <v>84</v>
      </c>
      <c r="B5" s="80"/>
      <c r="C5" s="81"/>
      <c r="D5" s="82" t="s">
        <v>13</v>
      </c>
      <c r="E5" s="83"/>
      <c r="F5" s="83"/>
      <c r="G5" s="83"/>
      <c r="H5" s="57"/>
      <c r="I5" s="49"/>
      <c r="J5" s="84"/>
      <c r="K5" s="85"/>
    </row>
    <row r="6" spans="1:13" ht="26.25" x14ac:dyDescent="0.25">
      <c r="A6" s="88" t="s">
        <v>85</v>
      </c>
      <c r="B6" s="89"/>
      <c r="C6" s="26"/>
      <c r="D6" s="31" t="s">
        <v>68</v>
      </c>
      <c r="E6" s="26"/>
      <c r="F6" s="23"/>
      <c r="G6" s="23"/>
      <c r="H6" s="23"/>
      <c r="I6" s="47"/>
      <c r="J6" s="47"/>
      <c r="K6" s="87"/>
    </row>
    <row r="7" spans="1:13" ht="27.75" customHeight="1" x14ac:dyDescent="0.25">
      <c r="A7" s="72" t="s">
        <v>31</v>
      </c>
      <c r="B7" s="125" t="s">
        <v>100</v>
      </c>
      <c r="C7" s="22" t="s">
        <v>7</v>
      </c>
      <c r="D7" s="21" t="e">
        <f>LOOKUP(C7,#REF!,#REF!)</f>
        <v>#REF!</v>
      </c>
      <c r="E7" s="22" t="e">
        <f>LOOKUP(C7,#REF!,#REF!)</f>
        <v>#REF!</v>
      </c>
      <c r="F7" s="23"/>
      <c r="G7" s="28">
        <f>F7*$L$3</f>
        <v>0</v>
      </c>
      <c r="H7" s="23">
        <f>H8*0.3</f>
        <v>0.3</v>
      </c>
      <c r="I7" s="45">
        <f>G7*H7</f>
        <v>0</v>
      </c>
      <c r="J7" s="47"/>
      <c r="K7" s="71" t="e">
        <f>I7/J26</f>
        <v>#DIV/0!</v>
      </c>
    </row>
    <row r="8" spans="1:13" ht="27" thickBot="1" x14ac:dyDescent="0.3">
      <c r="A8" s="72" t="s">
        <v>32</v>
      </c>
      <c r="B8" s="125" t="s">
        <v>100</v>
      </c>
      <c r="C8" s="90" t="s">
        <v>98</v>
      </c>
      <c r="D8" s="21" t="e">
        <f>LOOKUP(C8,#REF!,#REF!)</f>
        <v>#REF!</v>
      </c>
      <c r="E8" s="22" t="e">
        <f>LOOKUP(C8,#REF!,#REF!)</f>
        <v>#REF!</v>
      </c>
      <c r="F8" s="23"/>
      <c r="G8" s="28">
        <f>F8*$L$3</f>
        <v>0</v>
      </c>
      <c r="H8" s="23">
        <v>1</v>
      </c>
      <c r="I8" s="45">
        <f>G8*H8</f>
        <v>0</v>
      </c>
      <c r="J8" s="47"/>
      <c r="K8" s="71" t="e">
        <f>I8/J26</f>
        <v>#DIV/0!</v>
      </c>
    </row>
    <row r="9" spans="1:13" ht="15.75" thickBot="1" x14ac:dyDescent="0.3">
      <c r="A9" s="467"/>
      <c r="B9" s="468"/>
      <c r="C9" s="468"/>
      <c r="D9" s="468"/>
      <c r="E9" s="469"/>
      <c r="F9" s="74"/>
      <c r="G9" s="74"/>
      <c r="H9" s="58" t="s">
        <v>73</v>
      </c>
      <c r="I9" s="46"/>
      <c r="J9" s="75">
        <f>SUM(I7:I8)</f>
        <v>0</v>
      </c>
      <c r="K9" s="76" t="e">
        <f>J9/J26</f>
        <v>#DIV/0!</v>
      </c>
    </row>
    <row r="10" spans="1:13" x14ac:dyDescent="0.25">
      <c r="A10" s="34" t="s">
        <v>86</v>
      </c>
      <c r="B10" s="86"/>
      <c r="C10" s="26"/>
      <c r="D10" s="91" t="s">
        <v>78</v>
      </c>
      <c r="E10" s="35"/>
      <c r="F10" s="23"/>
      <c r="G10" s="23"/>
      <c r="H10" s="23"/>
      <c r="I10" s="47"/>
      <c r="J10" s="47"/>
      <c r="K10" s="87"/>
    </row>
    <row r="11" spans="1:13" ht="27" thickBot="1" x14ac:dyDescent="0.3">
      <c r="A11" s="36" t="s">
        <v>33</v>
      </c>
      <c r="B11" s="125" t="s">
        <v>100</v>
      </c>
      <c r="C11" s="22" t="s">
        <v>1</v>
      </c>
      <c r="D11" s="21" t="e">
        <f>LOOKUP(C11,#REF!,#REF!)</f>
        <v>#REF!</v>
      </c>
      <c r="E11" s="22" t="e">
        <f>LOOKUP(C11,#REF!,#REF!)</f>
        <v>#REF!</v>
      </c>
      <c r="F11" s="23"/>
      <c r="G11" s="28">
        <f>F11*$L$3</f>
        <v>0</v>
      </c>
      <c r="H11" s="23">
        <v>1447.83</v>
      </c>
      <c r="I11" s="45">
        <f>G11*H11</f>
        <v>0</v>
      </c>
      <c r="J11" s="47"/>
      <c r="K11" s="71" t="e">
        <f>I11/J26</f>
        <v>#DIV/0!</v>
      </c>
      <c r="M11" s="23">
        <v>361.96</v>
      </c>
    </row>
    <row r="12" spans="1:13" ht="15.75" thickBot="1" x14ac:dyDescent="0.3">
      <c r="A12" s="92"/>
      <c r="B12" s="65"/>
      <c r="C12" s="65"/>
      <c r="D12" s="37"/>
      <c r="E12" s="66"/>
      <c r="F12" s="74"/>
      <c r="G12" s="74"/>
      <c r="H12" s="58" t="s">
        <v>61</v>
      </c>
      <c r="I12" s="46"/>
      <c r="J12" s="75">
        <f>SUM(I11:I11)</f>
        <v>0</v>
      </c>
      <c r="K12" s="76" t="e">
        <f>J12/J26</f>
        <v>#DIV/0!</v>
      </c>
    </row>
    <row r="13" spans="1:13" x14ac:dyDescent="0.25">
      <c r="A13" s="34" t="s">
        <v>87</v>
      </c>
      <c r="B13" s="86"/>
      <c r="C13" s="26"/>
      <c r="D13" s="91" t="s">
        <v>15</v>
      </c>
      <c r="E13" s="26"/>
      <c r="F13" s="23"/>
      <c r="G13" s="23"/>
      <c r="H13" s="23"/>
      <c r="I13" s="47"/>
      <c r="J13" s="47"/>
      <c r="K13" s="87"/>
    </row>
    <row r="14" spans="1:13" ht="39" x14ac:dyDescent="0.25">
      <c r="A14" s="36" t="s">
        <v>37</v>
      </c>
      <c r="B14" s="125" t="s">
        <v>100</v>
      </c>
      <c r="C14" s="22" t="s">
        <v>3</v>
      </c>
      <c r="D14" s="21" t="e">
        <f>LOOKUP(C14,#REF!,#REF!)</f>
        <v>#REF!</v>
      </c>
      <c r="E14" s="22" t="e">
        <f>LOOKUP(C14,#REF!,#REF!)</f>
        <v>#REF!</v>
      </c>
      <c r="F14" s="389"/>
      <c r="G14" s="28">
        <f>F14*$L$3</f>
        <v>0</v>
      </c>
      <c r="H14" s="23">
        <v>1447.83</v>
      </c>
      <c r="I14" s="45">
        <f>G14*H14</f>
        <v>0</v>
      </c>
      <c r="J14" s="47"/>
      <c r="K14" s="71" t="e">
        <f>I14/J26</f>
        <v>#DIV/0!</v>
      </c>
    </row>
    <row r="15" spans="1:13" s="325" customFormat="1" ht="77.25" x14ac:dyDescent="0.25">
      <c r="A15" s="36" t="s">
        <v>38</v>
      </c>
      <c r="B15" s="312" t="s">
        <v>101</v>
      </c>
      <c r="C15" s="318">
        <v>94274</v>
      </c>
      <c r="D15" s="319" t="s">
        <v>5</v>
      </c>
      <c r="E15" s="318" t="s">
        <v>0</v>
      </c>
      <c r="F15" s="390"/>
      <c r="G15" s="28">
        <f>F15*$L$3</f>
        <v>0</v>
      </c>
      <c r="H15" s="323">
        <v>5</v>
      </c>
      <c r="I15" s="45">
        <f>G15*H15</f>
        <v>0</v>
      </c>
      <c r="J15" s="324"/>
      <c r="K15" s="317" t="e">
        <f>I15/J26</f>
        <v>#DIV/0!</v>
      </c>
    </row>
    <row r="16" spans="1:13" s="311" customFormat="1" ht="77.25" x14ac:dyDescent="0.25">
      <c r="A16" s="36" t="s">
        <v>39</v>
      </c>
      <c r="B16" s="312" t="s">
        <v>101</v>
      </c>
      <c r="C16" s="318">
        <v>94275</v>
      </c>
      <c r="D16" s="319" t="s">
        <v>77</v>
      </c>
      <c r="E16" s="318" t="s">
        <v>0</v>
      </c>
      <c r="F16" s="390"/>
      <c r="G16" s="28">
        <f>F16*$L$3</f>
        <v>0</v>
      </c>
      <c r="H16" s="320">
        <v>56</v>
      </c>
      <c r="I16" s="45">
        <f>G16*H16</f>
        <v>0</v>
      </c>
      <c r="J16" s="322"/>
      <c r="K16" s="317" t="e">
        <f>I16/J26</f>
        <v>#DIV/0!</v>
      </c>
    </row>
    <row r="17" spans="1:13" s="311" customFormat="1" x14ac:dyDescent="0.25">
      <c r="A17" s="36" t="s">
        <v>110</v>
      </c>
      <c r="B17" s="318" t="s">
        <v>66</v>
      </c>
      <c r="C17" s="305">
        <v>62304</v>
      </c>
      <c r="D17" s="306" t="s">
        <v>67</v>
      </c>
      <c r="E17" s="307" t="s">
        <v>12</v>
      </c>
      <c r="F17" s="391"/>
      <c r="G17" s="28">
        <f>F17*$L$3</f>
        <v>0</v>
      </c>
      <c r="H17" s="320">
        <v>1</v>
      </c>
      <c r="I17" s="45">
        <f>G17*H17</f>
        <v>0</v>
      </c>
      <c r="J17" s="322"/>
      <c r="K17" s="317"/>
    </row>
    <row r="18" spans="1:13" ht="27" thickBot="1" x14ac:dyDescent="0.3">
      <c r="A18" s="36" t="s">
        <v>111</v>
      </c>
      <c r="B18" s="125" t="s">
        <v>100</v>
      </c>
      <c r="C18" s="22" t="s">
        <v>2</v>
      </c>
      <c r="D18" s="21" t="e">
        <f>LOOKUP(C18,#REF!,#REF!)</f>
        <v>#REF!</v>
      </c>
      <c r="E18" s="22" t="e">
        <f>LOOKUP(C18,#REF!,#REF!)</f>
        <v>#REF!</v>
      </c>
      <c r="F18" s="389"/>
      <c r="G18" s="28">
        <f>F18*$L$3</f>
        <v>0</v>
      </c>
      <c r="H18" s="23">
        <f>(H15+H16)*0.3*0.11</f>
        <v>2.0129999999999999</v>
      </c>
      <c r="I18" s="45">
        <f>G18*H18</f>
        <v>0</v>
      </c>
      <c r="J18" s="47"/>
      <c r="K18" s="71" t="e">
        <f>I18/J26</f>
        <v>#DIV/0!</v>
      </c>
    </row>
    <row r="19" spans="1:13" ht="15.75" thickBot="1" x14ac:dyDescent="0.3">
      <c r="A19" s="92"/>
      <c r="B19" s="65"/>
      <c r="C19" s="65"/>
      <c r="D19" s="37"/>
      <c r="E19" s="66"/>
      <c r="F19" s="74"/>
      <c r="G19" s="74"/>
      <c r="H19" s="58" t="s">
        <v>62</v>
      </c>
      <c r="I19" s="46"/>
      <c r="J19" s="75">
        <f>SUM(I14:I18)</f>
        <v>0</v>
      </c>
      <c r="K19" s="76" t="e">
        <f>J19/J26</f>
        <v>#DIV/0!</v>
      </c>
    </row>
    <row r="20" spans="1:13" x14ac:dyDescent="0.25">
      <c r="A20" s="34" t="s">
        <v>88</v>
      </c>
      <c r="B20" s="86"/>
      <c r="C20" s="26"/>
      <c r="D20" s="39" t="s">
        <v>16</v>
      </c>
      <c r="E20" s="26"/>
      <c r="F20" s="23"/>
      <c r="G20" s="23"/>
      <c r="H20" s="23"/>
      <c r="I20" s="47"/>
      <c r="J20" s="47"/>
      <c r="K20" s="87"/>
    </row>
    <row r="21" spans="1:13" x14ac:dyDescent="0.25">
      <c r="A21" s="36" t="s">
        <v>41</v>
      </c>
      <c r="B21" s="125" t="s">
        <v>100</v>
      </c>
      <c r="C21" s="30" t="s">
        <v>19</v>
      </c>
      <c r="D21" s="21" t="e">
        <f>LOOKUP(C21,#REF!,#REF!)</f>
        <v>#REF!</v>
      </c>
      <c r="E21" s="22" t="e">
        <f>LOOKUP(C21,#REF!,#REF!)</f>
        <v>#REF!</v>
      </c>
      <c r="F21" s="23"/>
      <c r="G21" s="28">
        <f>F21*$L$3</f>
        <v>0</v>
      </c>
      <c r="H21" s="23">
        <v>3</v>
      </c>
      <c r="I21" s="45">
        <f>G21*H21</f>
        <v>0</v>
      </c>
      <c r="J21" s="47"/>
      <c r="K21" s="71" t="e">
        <f>I21/J26</f>
        <v>#DIV/0!</v>
      </c>
    </row>
    <row r="22" spans="1:13" ht="26.25" customHeight="1" x14ac:dyDescent="0.25">
      <c r="A22" s="36" t="s">
        <v>42</v>
      </c>
      <c r="B22" s="125" t="s">
        <v>100</v>
      </c>
      <c r="C22" s="30" t="s">
        <v>95</v>
      </c>
      <c r="D22" s="21" t="e">
        <f>LOOKUP(C22,#REF!,#REF!)</f>
        <v>#REF!</v>
      </c>
      <c r="E22" s="22" t="e">
        <f>LOOKUP(C22,#REF!,#REF!)</f>
        <v>#REF!</v>
      </c>
      <c r="F22" s="23"/>
      <c r="G22" s="28">
        <f>F22*$L$3</f>
        <v>0</v>
      </c>
      <c r="H22" s="23">
        <v>0.5</v>
      </c>
      <c r="I22" s="45">
        <f>G22*H22</f>
        <v>0</v>
      </c>
      <c r="J22" s="47"/>
      <c r="K22" s="71" t="e">
        <f>I22/J26</f>
        <v>#DIV/0!</v>
      </c>
    </row>
    <row r="23" spans="1:13" s="326" customFormat="1" ht="26.25" x14ac:dyDescent="0.25">
      <c r="A23" s="36" t="s">
        <v>43</v>
      </c>
      <c r="B23" s="312" t="s">
        <v>101</v>
      </c>
      <c r="C23" s="313" t="s">
        <v>105</v>
      </c>
      <c r="D23" s="314" t="s">
        <v>57</v>
      </c>
      <c r="E23" s="315" t="s">
        <v>12</v>
      </c>
      <c r="F23" s="309"/>
      <c r="G23" s="28">
        <f>F23*$L$3</f>
        <v>0</v>
      </c>
      <c r="H23" s="320">
        <v>2</v>
      </c>
      <c r="I23" s="321">
        <f>G23*H23</f>
        <v>0</v>
      </c>
      <c r="J23" s="322"/>
      <c r="K23" s="317" t="e">
        <f>I23/J26</f>
        <v>#DIV/0!</v>
      </c>
    </row>
    <row r="24" spans="1:13" s="6" customFormat="1" ht="27" thickBot="1" x14ac:dyDescent="0.3">
      <c r="A24" s="36" t="s">
        <v>44</v>
      </c>
      <c r="B24" s="125" t="s">
        <v>100</v>
      </c>
      <c r="C24" s="22" t="s">
        <v>10</v>
      </c>
      <c r="D24" s="21" t="s">
        <v>58</v>
      </c>
      <c r="E24" s="22" t="e">
        <f>LOOKUP(C24,#REF!,#REF!)</f>
        <v>#REF!</v>
      </c>
      <c r="F24" s="23"/>
      <c r="G24" s="28">
        <f>F24*$L$3</f>
        <v>0</v>
      </c>
      <c r="H24" s="23">
        <v>80.959999999999994</v>
      </c>
      <c r="I24" s="45">
        <f>G24*H24</f>
        <v>0</v>
      </c>
      <c r="J24" s="47"/>
      <c r="K24" s="71" t="e">
        <f>I24/J26</f>
        <v>#DIV/0!</v>
      </c>
    </row>
    <row r="25" spans="1:13" s="6" customFormat="1" ht="15" customHeight="1" thickBot="1" x14ac:dyDescent="0.3">
      <c r="A25" s="467"/>
      <c r="B25" s="468"/>
      <c r="C25" s="468"/>
      <c r="D25" s="468"/>
      <c r="E25" s="469"/>
      <c r="F25" s="74"/>
      <c r="H25" s="58" t="s">
        <v>63</v>
      </c>
      <c r="I25" s="46"/>
      <c r="J25" s="75">
        <f>SUM(I21:I24)</f>
        <v>0</v>
      </c>
      <c r="K25" s="76" t="e">
        <f>J25/J26</f>
        <v>#DIV/0!</v>
      </c>
    </row>
    <row r="26" spans="1:13" ht="27.75" customHeight="1" thickBot="1" x14ac:dyDescent="0.3">
      <c r="A26" s="504" t="s">
        <v>129</v>
      </c>
      <c r="B26" s="505"/>
      <c r="C26" s="505"/>
      <c r="D26" s="505"/>
      <c r="E26" s="505"/>
      <c r="F26" s="505"/>
      <c r="G26" s="505"/>
      <c r="H26" s="505"/>
      <c r="I26" s="506"/>
      <c r="J26" s="188">
        <f>SUM(J5:J25)</f>
        <v>0</v>
      </c>
      <c r="K26" s="40" t="e">
        <f>K9+K12+K19+K25</f>
        <v>#DIV/0!</v>
      </c>
      <c r="M26" s="7"/>
    </row>
    <row r="28" spans="1:13" x14ac:dyDescent="0.25">
      <c r="B28" s="372" t="s">
        <v>140</v>
      </c>
      <c r="C28" s="368"/>
      <c r="H28" s="499" t="s">
        <v>167</v>
      </c>
      <c r="I28" s="499"/>
      <c r="J28" s="499"/>
      <c r="K28" s="499"/>
    </row>
    <row r="29" spans="1:13" x14ac:dyDescent="0.25">
      <c r="B29" s="497" t="s">
        <v>102</v>
      </c>
      <c r="C29" s="497"/>
    </row>
    <row r="30" spans="1:13" x14ac:dyDescent="0.25">
      <c r="B30" s="498" t="s">
        <v>103</v>
      </c>
      <c r="C30" s="498"/>
    </row>
    <row r="31" spans="1:13" x14ac:dyDescent="0.25">
      <c r="B31" s="498" t="s">
        <v>104</v>
      </c>
      <c r="C31" s="498"/>
      <c r="J31" s="185"/>
    </row>
    <row r="34" spans="4:11" ht="15.75" thickBot="1" x14ac:dyDescent="0.3"/>
    <row r="35" spans="4:11" x14ac:dyDescent="0.25">
      <c r="D35" s="411" t="s">
        <v>130</v>
      </c>
      <c r="E35" s="411"/>
      <c r="F35" s="363"/>
      <c r="G35"/>
      <c r="H35" s="411" t="s">
        <v>133</v>
      </c>
      <c r="I35" s="411"/>
      <c r="J35" s="411"/>
      <c r="K35" s="411"/>
    </row>
    <row r="36" spans="4:11" x14ac:dyDescent="0.25">
      <c r="D36" s="412" t="s">
        <v>131</v>
      </c>
      <c r="E36" s="412"/>
      <c r="F36" s="361"/>
      <c r="G36" s="367"/>
      <c r="H36" s="403" t="s">
        <v>134</v>
      </c>
      <c r="I36" s="403"/>
      <c r="J36" s="403"/>
      <c r="K36" s="403"/>
    </row>
    <row r="37" spans="4:11" x14ac:dyDescent="0.25">
      <c r="D37" s="412" t="s">
        <v>132</v>
      </c>
      <c r="E37" s="412"/>
      <c r="F37" s="361"/>
      <c r="G37" s="247"/>
      <c r="H37" s="414" t="s">
        <v>135</v>
      </c>
      <c r="I37" s="414"/>
      <c r="J37" s="414"/>
      <c r="K37" s="414"/>
    </row>
    <row r="38" spans="4:11" x14ac:dyDescent="0.25">
      <c r="D38" s="362"/>
      <c r="E38" s="360"/>
      <c r="F38" s="361"/>
      <c r="G38" s="361"/>
      <c r="H38" s="6"/>
      <c r="I38" s="243"/>
      <c r="J38" s="244"/>
      <c r="K38" s="241"/>
    </row>
    <row r="39" spans="4:11" x14ac:dyDescent="0.25">
      <c r="D39" s="362"/>
      <c r="E39" s="360"/>
      <c r="F39" s="361"/>
      <c r="G39" s="361"/>
      <c r="H39" s="6"/>
      <c r="I39" s="243"/>
      <c r="J39" s="244"/>
      <c r="K39" s="241"/>
    </row>
    <row r="40" spans="4:11" ht="15.75" thickBot="1" x14ac:dyDescent="0.3">
      <c r="D40" s="362"/>
      <c r="E40" s="360"/>
      <c r="F40" s="361"/>
      <c r="G40" s="361"/>
      <c r="H40" s="6"/>
      <c r="I40" s="243"/>
      <c r="J40" s="244"/>
      <c r="K40" s="241"/>
    </row>
    <row r="41" spans="4:11" x14ac:dyDescent="0.25">
      <c r="D41" s="362"/>
      <c r="E41" s="360"/>
      <c r="F41" s="361"/>
      <c r="G41" s="361"/>
      <c r="H41" s="411" t="s">
        <v>136</v>
      </c>
      <c r="I41" s="411"/>
      <c r="J41" s="411"/>
      <c r="K41" s="411"/>
    </row>
    <row r="42" spans="4:11" x14ac:dyDescent="0.25">
      <c r="D42" s="362"/>
      <c r="E42" s="360"/>
      <c r="F42" s="361"/>
      <c r="G42" s="361"/>
      <c r="H42" s="403" t="s">
        <v>137</v>
      </c>
      <c r="I42" s="403"/>
      <c r="J42" s="403"/>
      <c r="K42" s="403"/>
    </row>
    <row r="43" spans="4:11" x14ac:dyDescent="0.25">
      <c r="D43" s="248"/>
      <c r="E43" s="246"/>
      <c r="F43" s="247"/>
      <c r="G43" s="247"/>
      <c r="H43" s="403" t="s">
        <v>138</v>
      </c>
      <c r="I43" s="403"/>
      <c r="J43" s="403"/>
      <c r="K43" s="403"/>
    </row>
  </sheetData>
  <mergeCells count="17">
    <mergeCell ref="H41:K41"/>
    <mergeCell ref="H42:K42"/>
    <mergeCell ref="H43:K43"/>
    <mergeCell ref="D35:E35"/>
    <mergeCell ref="H35:K35"/>
    <mergeCell ref="D36:E36"/>
    <mergeCell ref="H36:K36"/>
    <mergeCell ref="D37:E37"/>
    <mergeCell ref="H37:K37"/>
    <mergeCell ref="B29:C29"/>
    <mergeCell ref="B30:C30"/>
    <mergeCell ref="B31:C31"/>
    <mergeCell ref="A26:I26"/>
    <mergeCell ref="A1:K1"/>
    <mergeCell ref="A9:E9"/>
    <mergeCell ref="A25:E25"/>
    <mergeCell ref="H28:K28"/>
  </mergeCells>
  <printOptions horizontalCentered="1"/>
  <pageMargins left="0.31496062992125984" right="0.35433070866141736" top="1.1811023622047245" bottom="1.1811023622047245" header="0.31496062992125984" footer="0.31496062992125984"/>
  <pageSetup paperSize="9" scale="68"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view="pageBreakPreview" zoomScaleNormal="84" zoomScaleSheetLayoutView="100" workbookViewId="0">
      <selection sqref="A1:K1"/>
    </sheetView>
  </sheetViews>
  <sheetFormatPr defaultRowHeight="15" x14ac:dyDescent="0.25"/>
  <cols>
    <col min="1" max="1" width="4.85546875" style="14" customWidth="1"/>
    <col min="2" max="2" width="11.7109375" style="59" customWidth="1"/>
    <col min="3" max="3" width="9.85546875" style="16" customWidth="1"/>
    <col min="4" max="4" width="42.5703125" style="2" customWidth="1"/>
    <col min="5" max="5" width="7.5703125" style="16" customWidth="1"/>
    <col min="6" max="7" width="9.140625" style="59"/>
    <col min="8" max="8" width="10.85546875" style="59" customWidth="1"/>
    <col min="9" max="9" width="12.5703125" style="48" customWidth="1"/>
    <col min="10" max="10" width="15" style="42" bestFit="1" customWidth="1"/>
    <col min="11" max="11" width="9.140625" style="8"/>
    <col min="13" max="13" width="9.140625" style="119"/>
  </cols>
  <sheetData>
    <row r="1" spans="1:13" ht="36" customHeight="1" thickBot="1" x14ac:dyDescent="0.3">
      <c r="A1" s="482" t="s">
        <v>147</v>
      </c>
      <c r="B1" s="483"/>
      <c r="C1" s="483"/>
      <c r="D1" s="483"/>
      <c r="E1" s="483"/>
      <c r="F1" s="483"/>
      <c r="G1" s="483"/>
      <c r="H1" s="483"/>
      <c r="I1" s="483"/>
      <c r="J1" s="483"/>
      <c r="K1" s="484"/>
    </row>
    <row r="2" spans="1:13" ht="43.5" customHeight="1" x14ac:dyDescent="0.25">
      <c r="A2" s="494" t="s">
        <v>20</v>
      </c>
      <c r="B2" s="473" t="s">
        <v>21</v>
      </c>
      <c r="C2" s="473" t="s">
        <v>6</v>
      </c>
      <c r="D2" s="476" t="s">
        <v>27</v>
      </c>
      <c r="E2" s="479" t="s">
        <v>22</v>
      </c>
      <c r="F2" s="479" t="s">
        <v>65</v>
      </c>
      <c r="G2" s="115" t="s">
        <v>74</v>
      </c>
      <c r="H2" s="479" t="s">
        <v>23</v>
      </c>
      <c r="I2" s="485" t="s">
        <v>24</v>
      </c>
      <c r="J2" s="488" t="s">
        <v>40</v>
      </c>
      <c r="K2" s="491" t="s">
        <v>25</v>
      </c>
    </row>
    <row r="3" spans="1:13" ht="29.25" customHeight="1" x14ac:dyDescent="0.25">
      <c r="A3" s="495"/>
      <c r="B3" s="474"/>
      <c r="C3" s="474"/>
      <c r="D3" s="477"/>
      <c r="E3" s="480"/>
      <c r="F3" s="480"/>
      <c r="G3" s="116">
        <v>20.09</v>
      </c>
      <c r="H3" s="480"/>
      <c r="I3" s="486"/>
      <c r="J3" s="489"/>
      <c r="K3" s="492"/>
    </row>
    <row r="4" spans="1:13" ht="9" customHeight="1" x14ac:dyDescent="0.25">
      <c r="A4" s="496"/>
      <c r="B4" s="475"/>
      <c r="C4" s="475"/>
      <c r="D4" s="478"/>
      <c r="E4" s="481"/>
      <c r="F4" s="481"/>
      <c r="G4" s="99">
        <f>(G3/100)+1</f>
        <v>1.2009000000000001</v>
      </c>
      <c r="H4" s="481"/>
      <c r="I4" s="487"/>
      <c r="J4" s="490"/>
      <c r="K4" s="493"/>
    </row>
    <row r="5" spans="1:13" x14ac:dyDescent="0.25">
      <c r="A5" s="79" t="s">
        <v>84</v>
      </c>
      <c r="B5" s="80"/>
      <c r="C5" s="81"/>
      <c r="D5" s="124" t="s">
        <v>13</v>
      </c>
      <c r="E5" s="83"/>
      <c r="F5" s="83"/>
      <c r="G5" s="83"/>
      <c r="H5" s="57"/>
      <c r="I5" s="49"/>
      <c r="J5" s="84"/>
      <c r="K5" s="85"/>
    </row>
    <row r="6" spans="1:13" ht="26.25" x14ac:dyDescent="0.25">
      <c r="A6" s="143" t="s">
        <v>85</v>
      </c>
      <c r="B6" s="125" t="s">
        <v>100</v>
      </c>
      <c r="C6" s="144"/>
      <c r="D6" s="31" t="s">
        <v>68</v>
      </c>
      <c r="E6" s="144"/>
      <c r="F6" s="137"/>
      <c r="G6" s="137"/>
      <c r="H6" s="137"/>
      <c r="I6" s="140"/>
      <c r="J6" s="140"/>
      <c r="K6" s="147"/>
    </row>
    <row r="7" spans="1:13" ht="27.75" customHeight="1" x14ac:dyDescent="0.25">
      <c r="A7" s="145" t="s">
        <v>31</v>
      </c>
      <c r="B7" s="125" t="s">
        <v>100</v>
      </c>
      <c r="C7" s="126" t="s">
        <v>7</v>
      </c>
      <c r="D7" s="21" t="e">
        <f>LOOKUP(C7,#REF!,#REF!)</f>
        <v>#REF!</v>
      </c>
      <c r="E7" s="22" t="e">
        <f>LOOKUP(C7,#REF!,#REF!)</f>
        <v>#REF!</v>
      </c>
      <c r="F7" s="23"/>
      <c r="G7" s="138">
        <f>F7*G4</f>
        <v>0</v>
      </c>
      <c r="H7" s="137">
        <v>0.9</v>
      </c>
      <c r="I7" s="139">
        <f>G7*H7</f>
        <v>0</v>
      </c>
      <c r="J7" s="140"/>
      <c r="K7" s="132" t="e">
        <f>I7/J32</f>
        <v>#DIV/0!</v>
      </c>
      <c r="M7" s="119">
        <f>F7*0.765</f>
        <v>0</v>
      </c>
    </row>
    <row r="8" spans="1:13" ht="27" thickBot="1" x14ac:dyDescent="0.3">
      <c r="A8" s="145" t="s">
        <v>32</v>
      </c>
      <c r="B8" s="125" t="s">
        <v>100</v>
      </c>
      <c r="C8" s="128" t="s">
        <v>98</v>
      </c>
      <c r="D8" s="21" t="e">
        <f>LOOKUP(C8,#REF!,#REF!)</f>
        <v>#REF!</v>
      </c>
      <c r="E8" s="22" t="e">
        <f>LOOKUP(C8,#REF!,#REF!)</f>
        <v>#REF!</v>
      </c>
      <c r="F8" s="23"/>
      <c r="G8" s="138">
        <f>F8*G4</f>
        <v>0</v>
      </c>
      <c r="H8" s="137">
        <v>3</v>
      </c>
      <c r="I8" s="139">
        <f>G8*H8</f>
        <v>0</v>
      </c>
      <c r="J8" s="140"/>
      <c r="K8" s="132" t="e">
        <f>I8/J32</f>
        <v>#DIV/0!</v>
      </c>
      <c r="M8" s="119">
        <f>F8*0.765</f>
        <v>0</v>
      </c>
    </row>
    <row r="9" spans="1:13" ht="15.75" thickBot="1" x14ac:dyDescent="0.3">
      <c r="A9" s="467"/>
      <c r="B9" s="468"/>
      <c r="C9" s="468"/>
      <c r="D9" s="468"/>
      <c r="E9" s="469"/>
      <c r="F9" s="74"/>
      <c r="G9" s="74"/>
      <c r="H9" s="58" t="s">
        <v>73</v>
      </c>
      <c r="I9" s="46"/>
      <c r="J9" s="75">
        <f>SUM(I7:I8)</f>
        <v>0</v>
      </c>
      <c r="K9" s="76" t="e">
        <f>J9/J32</f>
        <v>#DIV/0!</v>
      </c>
    </row>
    <row r="10" spans="1:13" x14ac:dyDescent="0.25">
      <c r="A10" s="34" t="s">
        <v>86</v>
      </c>
      <c r="B10" s="86"/>
      <c r="C10" s="26"/>
      <c r="D10" s="91" t="s">
        <v>78</v>
      </c>
      <c r="E10" s="35"/>
      <c r="F10" s="23"/>
      <c r="G10" s="23"/>
      <c r="H10" s="23"/>
      <c r="I10" s="47"/>
      <c r="J10" s="47"/>
      <c r="K10" s="87"/>
    </row>
    <row r="11" spans="1:13" ht="27" thickBot="1" x14ac:dyDescent="0.3">
      <c r="A11" s="129" t="s">
        <v>33</v>
      </c>
      <c r="B11" s="125" t="s">
        <v>100</v>
      </c>
      <c r="C11" s="126" t="s">
        <v>1</v>
      </c>
      <c r="D11" s="21" t="e">
        <f>LOOKUP(C11,#REF!,#REF!)</f>
        <v>#REF!</v>
      </c>
      <c r="E11" s="22" t="e">
        <f>LOOKUP(C11,#REF!,#REF!)</f>
        <v>#REF!</v>
      </c>
      <c r="F11" s="23"/>
      <c r="G11" s="138">
        <f>F11*G4</f>
        <v>0</v>
      </c>
      <c r="H11" s="137">
        <v>3028.65</v>
      </c>
      <c r="I11" s="139">
        <f>G11*H11</f>
        <v>0</v>
      </c>
      <c r="J11" s="140"/>
      <c r="K11" s="132" t="e">
        <f>I11/J32</f>
        <v>#DIV/0!</v>
      </c>
      <c r="M11" s="119">
        <f>F11*0.765</f>
        <v>0</v>
      </c>
    </row>
    <row r="12" spans="1:13" ht="15.75" thickBot="1" x14ac:dyDescent="0.3">
      <c r="A12" s="92"/>
      <c r="B12" s="65"/>
      <c r="C12" s="65"/>
      <c r="D12" s="37"/>
      <c r="E12" s="66"/>
      <c r="F12" s="74"/>
      <c r="G12" s="74"/>
      <c r="H12" s="58" t="s">
        <v>61</v>
      </c>
      <c r="I12" s="46"/>
      <c r="J12" s="75">
        <f>SUM(I11:I11)</f>
        <v>0</v>
      </c>
      <c r="K12" s="76" t="e">
        <f>J12/J32</f>
        <v>#DIV/0!</v>
      </c>
    </row>
    <row r="13" spans="1:13" x14ac:dyDescent="0.25">
      <c r="A13" s="34" t="s">
        <v>87</v>
      </c>
      <c r="B13" s="86"/>
      <c r="C13" s="26"/>
      <c r="D13" s="91" t="s">
        <v>15</v>
      </c>
      <c r="E13" s="26"/>
      <c r="F13" s="23"/>
      <c r="G13" s="23"/>
      <c r="H13" s="23"/>
      <c r="I13" s="47"/>
      <c r="J13" s="47"/>
      <c r="K13" s="87"/>
    </row>
    <row r="14" spans="1:13" ht="39" x14ac:dyDescent="0.25">
      <c r="A14" s="129" t="s">
        <v>37</v>
      </c>
      <c r="B14" s="125" t="s">
        <v>100</v>
      </c>
      <c r="C14" s="126" t="s">
        <v>3</v>
      </c>
      <c r="D14" s="21" t="e">
        <f>LOOKUP(C14,#REF!,#REF!)</f>
        <v>#REF!</v>
      </c>
      <c r="E14" s="22" t="e">
        <f>LOOKUP(C14,#REF!,#REF!)</f>
        <v>#REF!</v>
      </c>
      <c r="F14" s="23"/>
      <c r="G14" s="138">
        <f>F14*G4</f>
        <v>0</v>
      </c>
      <c r="H14" s="137">
        <v>3028.65</v>
      </c>
      <c r="I14" s="139">
        <f>G14*H14</f>
        <v>0</v>
      </c>
      <c r="J14" s="140"/>
      <c r="K14" s="132" t="e">
        <f>I14/J32</f>
        <v>#DIV/0!</v>
      </c>
      <c r="M14" s="119">
        <f>F14*0.765</f>
        <v>0</v>
      </c>
    </row>
    <row r="15" spans="1:13" ht="68.25" customHeight="1" x14ac:dyDescent="0.25">
      <c r="A15" s="129" t="s">
        <v>38</v>
      </c>
      <c r="B15" s="135" t="s">
        <v>101</v>
      </c>
      <c r="C15" s="141">
        <v>94274</v>
      </c>
      <c r="D15" s="33" t="s">
        <v>5</v>
      </c>
      <c r="E15" s="126" t="s">
        <v>0</v>
      </c>
      <c r="F15" s="137"/>
      <c r="G15" s="138">
        <f>F15*G4</f>
        <v>0</v>
      </c>
      <c r="H15" s="137">
        <v>15</v>
      </c>
      <c r="I15" s="139">
        <f t="shared" ref="I15:I16" si="0">G15*H15</f>
        <v>0</v>
      </c>
      <c r="J15" s="140"/>
      <c r="K15" s="132" t="e">
        <f>I15/J32</f>
        <v>#DIV/0!</v>
      </c>
      <c r="M15" s="119">
        <f>F15*0.765</f>
        <v>0</v>
      </c>
    </row>
    <row r="16" spans="1:13" ht="77.25" x14ac:dyDescent="0.25">
      <c r="A16" s="129" t="s">
        <v>39</v>
      </c>
      <c r="B16" s="135" t="s">
        <v>101</v>
      </c>
      <c r="C16" s="141">
        <v>94275</v>
      </c>
      <c r="D16" s="33" t="s">
        <v>79</v>
      </c>
      <c r="E16" s="126" t="s">
        <v>0</v>
      </c>
      <c r="F16" s="137"/>
      <c r="G16" s="138">
        <f>F16*G4</f>
        <v>0</v>
      </c>
      <c r="H16" s="137">
        <v>42</v>
      </c>
      <c r="I16" s="139">
        <f t="shared" si="0"/>
        <v>0</v>
      </c>
      <c r="J16" s="140"/>
      <c r="K16" s="132" t="e">
        <f>I16/J32</f>
        <v>#DIV/0!</v>
      </c>
      <c r="M16" s="119">
        <f>F16*0.765</f>
        <v>0</v>
      </c>
    </row>
    <row r="17" spans="1:14" ht="27" thickBot="1" x14ac:dyDescent="0.3">
      <c r="A17" s="129" t="s">
        <v>110</v>
      </c>
      <c r="B17" s="125" t="s">
        <v>100</v>
      </c>
      <c r="C17" s="126" t="s">
        <v>2</v>
      </c>
      <c r="D17" s="21" t="e">
        <f>LOOKUP(C17,#REF!,#REF!)</f>
        <v>#REF!</v>
      </c>
      <c r="E17" s="22" t="e">
        <f>LOOKUP(C17,#REF!,#REF!)</f>
        <v>#REF!</v>
      </c>
      <c r="F17" s="23"/>
      <c r="G17" s="138">
        <f>F17*G4</f>
        <v>0</v>
      </c>
      <c r="H17" s="137">
        <f>(H15+H16)*0.3*0.11</f>
        <v>1.8809999999999998</v>
      </c>
      <c r="I17" s="139">
        <f>G17*H17</f>
        <v>0</v>
      </c>
      <c r="J17" s="140"/>
      <c r="K17" s="132" t="e">
        <f>I17/J32</f>
        <v>#DIV/0!</v>
      </c>
      <c r="M17" s="119">
        <f>F17*0.765</f>
        <v>0</v>
      </c>
    </row>
    <row r="18" spans="1:14" ht="15.75" thickBot="1" x14ac:dyDescent="0.3">
      <c r="A18" s="92"/>
      <c r="B18" s="65"/>
      <c r="C18" s="65"/>
      <c r="D18" s="37"/>
      <c r="E18" s="66"/>
      <c r="F18" s="74"/>
      <c r="G18" s="74"/>
      <c r="H18" s="58" t="s">
        <v>62</v>
      </c>
      <c r="I18" s="46"/>
      <c r="J18" s="75">
        <f>SUM(I14:I17)</f>
        <v>0</v>
      </c>
      <c r="K18" s="76" t="e">
        <f>J18/J32</f>
        <v>#DIV/0!</v>
      </c>
    </row>
    <row r="19" spans="1:14" x14ac:dyDescent="0.25">
      <c r="A19" s="34" t="s">
        <v>88</v>
      </c>
      <c r="B19" s="86"/>
      <c r="C19" s="26"/>
      <c r="D19" s="39" t="s">
        <v>115</v>
      </c>
      <c r="E19" s="26"/>
      <c r="F19" s="23"/>
      <c r="G19" s="23"/>
      <c r="H19" s="23"/>
      <c r="I19" s="47"/>
      <c r="J19" s="47"/>
      <c r="K19" s="87"/>
    </row>
    <row r="20" spans="1:14" ht="26.25" x14ac:dyDescent="0.25">
      <c r="A20" s="129" t="s">
        <v>41</v>
      </c>
      <c r="B20" s="135" t="s">
        <v>101</v>
      </c>
      <c r="C20" s="126">
        <v>72947</v>
      </c>
      <c r="D20" s="21" t="s">
        <v>69</v>
      </c>
      <c r="E20" s="22" t="s">
        <v>9</v>
      </c>
      <c r="F20" s="23"/>
      <c r="G20" s="28">
        <f>F20*G4</f>
        <v>0</v>
      </c>
      <c r="H20" s="23">
        <v>33.840000000000003</v>
      </c>
      <c r="I20" s="45">
        <f>G20*H20</f>
        <v>0</v>
      </c>
      <c r="J20" s="47"/>
      <c r="K20" s="71" t="e">
        <f>I20/J32</f>
        <v>#DIV/0!</v>
      </c>
      <c r="M20" s="119">
        <f>F20*0.765</f>
        <v>0</v>
      </c>
    </row>
    <row r="21" spans="1:14" ht="26.25" x14ac:dyDescent="0.25">
      <c r="A21" s="129" t="s">
        <v>42</v>
      </c>
      <c r="B21" s="125" t="s">
        <v>100</v>
      </c>
      <c r="C21" s="126" t="s">
        <v>11</v>
      </c>
      <c r="D21" s="21" t="e">
        <f>LOOKUP(C21,#REF!,#REF!)</f>
        <v>#REF!</v>
      </c>
      <c r="E21" s="22" t="e">
        <f>LOOKUP(C21,#REF!,#REF!)</f>
        <v>#REF!</v>
      </c>
      <c r="F21" s="23"/>
      <c r="G21" s="28">
        <f>F21*G4</f>
        <v>0</v>
      </c>
      <c r="H21" s="23">
        <f>0.28+0.32+0.32</f>
        <v>0.92000000000000015</v>
      </c>
      <c r="I21" s="45">
        <f t="shared" ref="I21:I30" si="1">G21*H21</f>
        <v>0</v>
      </c>
      <c r="J21" s="47"/>
      <c r="K21" s="71" t="e">
        <f>I21/J32</f>
        <v>#DIV/0!</v>
      </c>
      <c r="M21" s="119">
        <f>F21*0.765</f>
        <v>0</v>
      </c>
    </row>
    <row r="22" spans="1:14" x14ac:dyDescent="0.25">
      <c r="A22" s="129" t="s">
        <v>43</v>
      </c>
      <c r="B22" s="136" t="s">
        <v>100</v>
      </c>
      <c r="C22" s="134" t="s">
        <v>19</v>
      </c>
      <c r="D22" s="21" t="e">
        <f>LOOKUP(C22,#REF!,#REF!)</f>
        <v>#REF!</v>
      </c>
      <c r="E22" s="22" t="e">
        <f>LOOKUP(C22,#REF!,#REF!)</f>
        <v>#REF!</v>
      </c>
      <c r="F22" s="23"/>
      <c r="G22" s="28">
        <f>F22*G4</f>
        <v>0</v>
      </c>
      <c r="H22" s="23">
        <f>6*3+2*3</f>
        <v>24</v>
      </c>
      <c r="I22" s="45">
        <f t="shared" si="1"/>
        <v>0</v>
      </c>
      <c r="J22" s="47"/>
      <c r="K22" s="71" t="e">
        <f>I22/J32</f>
        <v>#DIV/0!</v>
      </c>
      <c r="M22" s="119">
        <f>F22*0.765</f>
        <v>0</v>
      </c>
    </row>
    <row r="23" spans="1:14" ht="26.25" x14ac:dyDescent="0.25">
      <c r="A23" s="129" t="s">
        <v>44</v>
      </c>
      <c r="B23" s="136" t="s">
        <v>100</v>
      </c>
      <c r="C23" s="134" t="s">
        <v>95</v>
      </c>
      <c r="D23" s="21" t="e">
        <f>LOOKUP(C23,#REF!,#REF!)</f>
        <v>#REF!</v>
      </c>
      <c r="E23" s="22" t="e">
        <f>LOOKUP(C23,#REF!,#REF!)</f>
        <v>#REF!</v>
      </c>
      <c r="F23" s="23"/>
      <c r="G23" s="28">
        <f>F23*G4</f>
        <v>0</v>
      </c>
      <c r="H23" s="23">
        <f>8*0.5</f>
        <v>4</v>
      </c>
      <c r="I23" s="45">
        <f>G23*H23</f>
        <v>0</v>
      </c>
      <c r="J23" s="47"/>
      <c r="K23" s="71" t="e">
        <f>I23/J32</f>
        <v>#DIV/0!</v>
      </c>
    </row>
    <row r="24" spans="1:14" s="5" customFormat="1" ht="26.25" x14ac:dyDescent="0.25">
      <c r="A24" s="129" t="s">
        <v>45</v>
      </c>
      <c r="B24" s="135" t="s">
        <v>101</v>
      </c>
      <c r="C24" s="134" t="s">
        <v>105</v>
      </c>
      <c r="D24" s="29" t="s">
        <v>107</v>
      </c>
      <c r="E24" s="32" t="s">
        <v>12</v>
      </c>
      <c r="F24" s="23"/>
      <c r="G24" s="28">
        <f>F24*G4</f>
        <v>0</v>
      </c>
      <c r="H24" s="23">
        <v>12</v>
      </c>
      <c r="I24" s="45">
        <f t="shared" si="1"/>
        <v>0</v>
      </c>
      <c r="J24" s="47"/>
      <c r="K24" s="71" t="e">
        <f>I24/J32</f>
        <v>#DIV/0!</v>
      </c>
      <c r="M24" s="119">
        <f>F24*0.765</f>
        <v>0</v>
      </c>
      <c r="N24" s="5">
        <v>6</v>
      </c>
    </row>
    <row r="25" spans="1:14" s="6" customFormat="1" ht="30" customHeight="1" x14ac:dyDescent="0.25">
      <c r="A25" s="129" t="s">
        <v>46</v>
      </c>
      <c r="B25" s="125" t="s">
        <v>100</v>
      </c>
      <c r="C25" s="126" t="s">
        <v>10</v>
      </c>
      <c r="D25" s="21" t="s">
        <v>58</v>
      </c>
      <c r="E25" s="22" t="e">
        <f>LOOKUP(C25,#REF!,#REF!)</f>
        <v>#REF!</v>
      </c>
      <c r="F25" s="23"/>
      <c r="G25" s="28">
        <f>F25*G4</f>
        <v>0</v>
      </c>
      <c r="H25" s="23">
        <v>118.85</v>
      </c>
      <c r="I25" s="45">
        <f t="shared" si="1"/>
        <v>0</v>
      </c>
      <c r="J25" s="47"/>
      <c r="K25" s="71" t="e">
        <f>I25/J32</f>
        <v>#DIV/0!</v>
      </c>
      <c r="M25" s="119">
        <f>F25*0.765</f>
        <v>0</v>
      </c>
    </row>
    <row r="26" spans="1:14" s="6" customFormat="1" ht="30" customHeight="1" x14ac:dyDescent="0.25">
      <c r="A26" s="129" t="s">
        <v>117</v>
      </c>
      <c r="B26" s="125" t="s">
        <v>100</v>
      </c>
      <c r="C26" s="128" t="s">
        <v>96</v>
      </c>
      <c r="D26" s="201" t="e">
        <f>LOOKUP(C26,#REF!,#REF!)</f>
        <v>#REF!</v>
      </c>
      <c r="E26" s="200" t="e">
        <f>LOOKUP(C26,#REF!,#REF!)</f>
        <v>#REF!</v>
      </c>
      <c r="F26" s="202"/>
      <c r="G26" s="138">
        <f>F26*G4</f>
        <v>0</v>
      </c>
      <c r="H26" s="353">
        <f>1.13*N24</f>
        <v>6.7799999999999994</v>
      </c>
      <c r="I26" s="139">
        <f t="shared" si="1"/>
        <v>0</v>
      </c>
      <c r="J26" s="212"/>
      <c r="K26" s="132" t="e">
        <f>I26/$J$31</f>
        <v>#DIV/0!</v>
      </c>
      <c r="M26" s="119"/>
    </row>
    <row r="27" spans="1:14" s="6" customFormat="1" ht="38.25" x14ac:dyDescent="0.25">
      <c r="A27" s="129" t="s">
        <v>118</v>
      </c>
      <c r="B27" s="125" t="s">
        <v>100</v>
      </c>
      <c r="C27" s="128" t="s">
        <v>97</v>
      </c>
      <c r="D27" s="201" t="e">
        <f>LOOKUP(C27,#REF!,#REF!)</f>
        <v>#REF!</v>
      </c>
      <c r="E27" s="200" t="e">
        <f>LOOKUP(C27,#REF!,#REF!)</f>
        <v>#REF!</v>
      </c>
      <c r="F27" s="202"/>
      <c r="G27" s="138">
        <f>F27*G4</f>
        <v>0</v>
      </c>
      <c r="H27" s="353">
        <f>1.13*N24</f>
        <v>6.7799999999999994</v>
      </c>
      <c r="I27" s="139">
        <f t="shared" si="1"/>
        <v>0</v>
      </c>
      <c r="J27" s="212"/>
      <c r="K27" s="132" t="e">
        <f>I27/$J$31</f>
        <v>#DIV/0!</v>
      </c>
      <c r="M27" s="119"/>
    </row>
    <row r="28" spans="1:14" s="6" customFormat="1" ht="30" customHeight="1" x14ac:dyDescent="0.25">
      <c r="A28" s="129" t="s">
        <v>119</v>
      </c>
      <c r="B28" s="125" t="s">
        <v>100</v>
      </c>
      <c r="C28" s="128" t="s">
        <v>94</v>
      </c>
      <c r="D28" s="201" t="e">
        <f>LOOKUP(C28,#REF!,#REF!)</f>
        <v>#REF!</v>
      </c>
      <c r="E28" s="200" t="e">
        <f>LOOKUP(C28,#REF!,#REF!)</f>
        <v>#REF!</v>
      </c>
      <c r="F28" s="202"/>
      <c r="G28" s="138">
        <f>F28*G4</f>
        <v>0</v>
      </c>
      <c r="H28" s="353">
        <f>0.26*N24</f>
        <v>1.56</v>
      </c>
      <c r="I28" s="139">
        <f t="shared" si="1"/>
        <v>0</v>
      </c>
      <c r="J28" s="212"/>
      <c r="K28" s="132" t="e">
        <f>I28/$J$31</f>
        <v>#DIV/0!</v>
      </c>
      <c r="M28" s="119"/>
    </row>
    <row r="29" spans="1:14" s="6" customFormat="1" ht="30" customHeight="1" x14ac:dyDescent="0.25">
      <c r="A29" s="129" t="s">
        <v>120</v>
      </c>
      <c r="B29" s="125" t="s">
        <v>100</v>
      </c>
      <c r="C29" s="128" t="s">
        <v>92</v>
      </c>
      <c r="D29" s="201" t="e">
        <f>LOOKUP(C29,#REF!,#REF!)</f>
        <v>#REF!</v>
      </c>
      <c r="E29" s="200" t="e">
        <f>LOOKUP(C29,#REF!,#REF!)</f>
        <v>#REF!</v>
      </c>
      <c r="F29" s="202"/>
      <c r="G29" s="138">
        <f>F29*G4</f>
        <v>0</v>
      </c>
      <c r="H29" s="353">
        <f>0.97*N24</f>
        <v>5.82</v>
      </c>
      <c r="I29" s="139">
        <f t="shared" si="1"/>
        <v>0</v>
      </c>
      <c r="J29" s="212"/>
      <c r="K29" s="132" t="e">
        <f>I29/$J$31</f>
        <v>#DIV/0!</v>
      </c>
      <c r="M29" s="119"/>
    </row>
    <row r="30" spans="1:14" s="6" customFormat="1" ht="30" customHeight="1" thickBot="1" x14ac:dyDescent="0.3">
      <c r="A30" s="129" t="s">
        <v>121</v>
      </c>
      <c r="B30" s="125" t="s">
        <v>100</v>
      </c>
      <c r="C30" s="128" t="s">
        <v>93</v>
      </c>
      <c r="D30" s="201" t="e">
        <f>LOOKUP(C30,#REF!,#REF!)</f>
        <v>#REF!</v>
      </c>
      <c r="E30" s="200" t="e">
        <f>LOOKUP(C30,#REF!,#REF!)</f>
        <v>#REF!</v>
      </c>
      <c r="F30" s="202"/>
      <c r="G30" s="138">
        <f>F30*G4</f>
        <v>0</v>
      </c>
      <c r="H30" s="353">
        <f>0.97*N24</f>
        <v>5.82</v>
      </c>
      <c r="I30" s="139">
        <f t="shared" si="1"/>
        <v>0</v>
      </c>
      <c r="J30" s="212"/>
      <c r="K30" s="132" t="e">
        <f>I30/$J$31</f>
        <v>#DIV/0!</v>
      </c>
      <c r="M30" s="119"/>
    </row>
    <row r="31" spans="1:14" s="6" customFormat="1" ht="15.75" customHeight="1" thickBot="1" x14ac:dyDescent="0.3">
      <c r="A31" s="467"/>
      <c r="B31" s="468"/>
      <c r="C31" s="468"/>
      <c r="D31" s="468"/>
      <c r="E31" s="469"/>
      <c r="F31" s="74"/>
      <c r="G31" s="74"/>
      <c r="H31" s="58" t="s">
        <v>63</v>
      </c>
      <c r="I31" s="46"/>
      <c r="J31" s="75">
        <f>SUM(I20:I30)</f>
        <v>0</v>
      </c>
      <c r="K31" s="76" t="e">
        <f>J31/J32</f>
        <v>#DIV/0!</v>
      </c>
      <c r="M31" s="186"/>
    </row>
    <row r="32" spans="1:14" s="160" customFormat="1" ht="15.75" thickBot="1" x14ac:dyDescent="0.3">
      <c r="A32" s="507" t="s">
        <v>127</v>
      </c>
      <c r="B32" s="508"/>
      <c r="C32" s="508"/>
      <c r="D32" s="508"/>
      <c r="E32" s="508"/>
      <c r="F32" s="508"/>
      <c r="G32" s="508"/>
      <c r="H32" s="508"/>
      <c r="I32" s="509"/>
      <c r="J32" s="393">
        <f>SUM(J5:J31)</f>
        <v>0</v>
      </c>
      <c r="K32" s="161" t="e">
        <f>K9+K12+K18+K31</f>
        <v>#DIV/0!</v>
      </c>
      <c r="M32" s="187"/>
    </row>
    <row r="33" spans="1:11" x14ac:dyDescent="0.25">
      <c r="A33" s="10"/>
      <c r="B33" s="117" t="s">
        <v>140</v>
      </c>
      <c r="C33" s="10"/>
      <c r="D33" s="11"/>
      <c r="E33" s="10"/>
      <c r="F33" s="117"/>
      <c r="G33" s="117"/>
      <c r="H33" s="117"/>
      <c r="I33" s="44"/>
      <c r="J33" s="41"/>
      <c r="K33" s="157"/>
    </row>
    <row r="34" spans="1:11" x14ac:dyDescent="0.25">
      <c r="B34" s="497" t="s">
        <v>102</v>
      </c>
      <c r="C34" s="497"/>
      <c r="H34" s="499" t="s">
        <v>167</v>
      </c>
      <c r="I34" s="499"/>
      <c r="J34" s="499"/>
      <c r="K34" s="499"/>
    </row>
    <row r="35" spans="1:11" x14ac:dyDescent="0.25">
      <c r="B35" s="498" t="s">
        <v>103</v>
      </c>
      <c r="C35" s="498"/>
      <c r="J35" s="185"/>
    </row>
    <row r="36" spans="1:11" x14ac:dyDescent="0.25">
      <c r="B36" s="498" t="s">
        <v>104</v>
      </c>
      <c r="C36" s="498"/>
    </row>
    <row r="37" spans="1:11" x14ac:dyDescent="0.25">
      <c r="D37" s="378"/>
      <c r="E37" s="399"/>
      <c r="F37" s="372"/>
      <c r="G37" s="372"/>
      <c r="H37" s="372"/>
      <c r="I37" s="537"/>
      <c r="J37" s="538"/>
      <c r="K37" s="539"/>
    </row>
    <row r="38" spans="1:11" x14ac:dyDescent="0.25">
      <c r="D38" s="403"/>
      <c r="E38" s="403"/>
      <c r="F38" s="402"/>
      <c r="G38" s="533"/>
      <c r="H38" s="403"/>
      <c r="I38" s="403"/>
      <c r="J38" s="403"/>
      <c r="K38" s="403"/>
    </row>
    <row r="39" spans="1:11" x14ac:dyDescent="0.25">
      <c r="D39" s="403"/>
      <c r="E39" s="403"/>
      <c r="F39" s="401"/>
      <c r="G39" s="536"/>
      <c r="H39" s="403"/>
      <c r="I39" s="403"/>
      <c r="J39" s="403"/>
      <c r="K39" s="403"/>
    </row>
    <row r="40" spans="1:11" x14ac:dyDescent="0.25">
      <c r="D40" s="403"/>
      <c r="E40" s="403"/>
      <c r="F40" s="401"/>
      <c r="G40" s="401"/>
      <c r="H40" s="414"/>
      <c r="I40" s="414"/>
      <c r="J40" s="414"/>
      <c r="K40" s="414"/>
    </row>
    <row r="41" spans="1:11" x14ac:dyDescent="0.25">
      <c r="D41" s="362"/>
      <c r="E41" s="360"/>
      <c r="F41" s="401"/>
      <c r="G41" s="401"/>
      <c r="H41" s="6"/>
      <c r="I41" s="243"/>
      <c r="J41" s="244"/>
      <c r="K41" s="241"/>
    </row>
    <row r="42" spans="1:11" x14ac:dyDescent="0.25">
      <c r="D42" s="362"/>
      <c r="E42" s="360"/>
      <c r="F42" s="401"/>
      <c r="G42" s="401"/>
      <c r="H42" s="6"/>
      <c r="I42" s="243"/>
      <c r="J42" s="244"/>
      <c r="K42" s="241"/>
    </row>
    <row r="43" spans="1:11" x14ac:dyDescent="0.25">
      <c r="D43" s="362"/>
      <c r="E43" s="360"/>
      <c r="F43" s="401"/>
      <c r="G43" s="401"/>
      <c r="H43" s="6"/>
      <c r="I43" s="243"/>
      <c r="J43" s="244"/>
      <c r="K43" s="241"/>
    </row>
    <row r="44" spans="1:11" x14ac:dyDescent="0.25">
      <c r="D44" s="362"/>
      <c r="E44" s="360"/>
      <c r="F44" s="401"/>
      <c r="G44" s="401"/>
      <c r="H44" s="403"/>
      <c r="I44" s="403"/>
      <c r="J44" s="403"/>
      <c r="K44" s="403"/>
    </row>
    <row r="45" spans="1:11" x14ac:dyDescent="0.25">
      <c r="D45" s="362"/>
      <c r="E45" s="360"/>
      <c r="F45" s="401"/>
      <c r="G45" s="401"/>
      <c r="H45" s="403"/>
      <c r="I45" s="403"/>
      <c r="J45" s="403"/>
      <c r="K45" s="403"/>
    </row>
    <row r="46" spans="1:11" x14ac:dyDescent="0.25">
      <c r="D46" s="362"/>
      <c r="E46" s="360"/>
      <c r="F46" s="401"/>
      <c r="G46" s="401"/>
      <c r="H46" s="403"/>
      <c r="I46" s="403"/>
      <c r="J46" s="403"/>
      <c r="K46" s="403"/>
    </row>
  </sheetData>
  <mergeCells count="27">
    <mergeCell ref="H44:K44"/>
    <mergeCell ref="H45:K45"/>
    <mergeCell ref="H46:K46"/>
    <mergeCell ref="D38:E38"/>
    <mergeCell ref="H38:K38"/>
    <mergeCell ref="D39:E39"/>
    <mergeCell ref="H39:K39"/>
    <mergeCell ref="D40:E40"/>
    <mergeCell ref="H40:K40"/>
    <mergeCell ref="A1:K1"/>
    <mergeCell ref="A9:E9"/>
    <mergeCell ref="A2:A4"/>
    <mergeCell ref="B2:B4"/>
    <mergeCell ref="C2:C4"/>
    <mergeCell ref="D2:D4"/>
    <mergeCell ref="E2:E4"/>
    <mergeCell ref="F2:F4"/>
    <mergeCell ref="H2:H4"/>
    <mergeCell ref="I2:I4"/>
    <mergeCell ref="J2:J4"/>
    <mergeCell ref="K2:K4"/>
    <mergeCell ref="A31:E31"/>
    <mergeCell ref="B34:C34"/>
    <mergeCell ref="B35:C35"/>
    <mergeCell ref="B36:C36"/>
    <mergeCell ref="A32:I32"/>
    <mergeCell ref="H34:K34"/>
  </mergeCells>
  <printOptions horizontalCentered="1"/>
  <pageMargins left="0.31496062992125984" right="0.35433070866141736" top="1.1811023622047245" bottom="1.1811023622047245" header="0.31496062992125984" footer="0.31496062992125984"/>
  <pageSetup paperSize="9" scale="63" orientation="portrait" horizontalDpi="4294967293" r:id="rId1"/>
  <headerFooter>
    <oddHeader>&amp;L&amp;G&amp;C&amp;"-,Negrito"&amp;18PREFEITURA MUNICIPAL DE &amp;16POTIM
“TERRA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view="pageBreakPreview" zoomScaleNormal="84" zoomScaleSheetLayoutView="100" workbookViewId="0">
      <selection sqref="A1:K1"/>
    </sheetView>
  </sheetViews>
  <sheetFormatPr defaultRowHeight="15" x14ac:dyDescent="0.25"/>
  <cols>
    <col min="1" max="1" width="4.85546875" style="14" customWidth="1"/>
    <col min="2" max="2" width="11.7109375" style="59" customWidth="1"/>
    <col min="3" max="3" width="9.85546875" style="16" customWidth="1"/>
    <col min="4" max="4" width="42.5703125" style="2" customWidth="1"/>
    <col min="5" max="5" width="7.5703125" style="16" customWidth="1"/>
    <col min="6" max="6" width="9.140625" style="59"/>
    <col min="7" max="7" width="9.140625" style="94"/>
    <col min="8" max="8" width="10.85546875" style="59" customWidth="1"/>
    <col min="9" max="9" width="12.5703125" style="48" customWidth="1"/>
    <col min="10" max="10" width="14.7109375" style="42" bestFit="1" customWidth="1"/>
    <col min="11" max="11" width="9.140625" style="8"/>
  </cols>
  <sheetData>
    <row r="1" spans="1:11" ht="36" customHeight="1" thickBot="1" x14ac:dyDescent="0.3">
      <c r="A1" s="482" t="s">
        <v>148</v>
      </c>
      <c r="B1" s="483"/>
      <c r="C1" s="483"/>
      <c r="D1" s="483"/>
      <c r="E1" s="483"/>
      <c r="F1" s="483"/>
      <c r="G1" s="483"/>
      <c r="H1" s="483"/>
      <c r="I1" s="483"/>
      <c r="J1" s="483"/>
      <c r="K1" s="484"/>
    </row>
    <row r="2" spans="1:11" ht="43.5" customHeight="1" x14ac:dyDescent="0.25">
      <c r="A2" s="494" t="s">
        <v>20</v>
      </c>
      <c r="B2" s="473" t="s">
        <v>21</v>
      </c>
      <c r="C2" s="473" t="s">
        <v>6</v>
      </c>
      <c r="D2" s="476" t="s">
        <v>27</v>
      </c>
      <c r="E2" s="479" t="s">
        <v>22</v>
      </c>
      <c r="F2" s="479" t="s">
        <v>65</v>
      </c>
      <c r="G2" s="115" t="s">
        <v>74</v>
      </c>
      <c r="H2" s="479" t="s">
        <v>23</v>
      </c>
      <c r="I2" s="485" t="s">
        <v>24</v>
      </c>
      <c r="J2" s="488" t="s">
        <v>40</v>
      </c>
      <c r="K2" s="491" t="s">
        <v>25</v>
      </c>
    </row>
    <row r="3" spans="1:11" ht="29.25" customHeight="1" x14ac:dyDescent="0.25">
      <c r="A3" s="495"/>
      <c r="B3" s="474"/>
      <c r="C3" s="474"/>
      <c r="D3" s="477"/>
      <c r="E3" s="480"/>
      <c r="F3" s="480"/>
      <c r="G3" s="116">
        <v>20.09</v>
      </c>
      <c r="H3" s="480"/>
      <c r="I3" s="486"/>
      <c r="J3" s="489"/>
      <c r="K3" s="492"/>
    </row>
    <row r="4" spans="1:11" ht="9" customHeight="1" x14ac:dyDescent="0.25">
      <c r="A4" s="496"/>
      <c r="B4" s="475"/>
      <c r="C4" s="475"/>
      <c r="D4" s="478"/>
      <c r="E4" s="481"/>
      <c r="F4" s="481"/>
      <c r="G4" s="99">
        <f>(G3/100)+1</f>
        <v>1.2009000000000001</v>
      </c>
      <c r="H4" s="481"/>
      <c r="I4" s="487"/>
      <c r="J4" s="490"/>
      <c r="K4" s="493"/>
    </row>
    <row r="5" spans="1:11" x14ac:dyDescent="0.25">
      <c r="A5" s="79" t="s">
        <v>84</v>
      </c>
      <c r="B5" s="80"/>
      <c r="C5" s="81"/>
      <c r="D5" s="82" t="s">
        <v>13</v>
      </c>
      <c r="E5" s="83"/>
      <c r="F5" s="83"/>
      <c r="G5" s="83"/>
      <c r="H5" s="57"/>
      <c r="I5" s="49"/>
      <c r="J5" s="84"/>
      <c r="K5" s="85"/>
    </row>
    <row r="6" spans="1:11" ht="26.25" x14ac:dyDescent="0.25">
      <c r="A6" s="88" t="s">
        <v>85</v>
      </c>
      <c r="B6" s="89"/>
      <c r="C6" s="26"/>
      <c r="D6" s="31" t="s">
        <v>68</v>
      </c>
      <c r="E6" s="26"/>
      <c r="F6" s="23"/>
      <c r="G6" s="23"/>
      <c r="H6" s="23"/>
      <c r="I6" s="47"/>
      <c r="J6" s="47"/>
      <c r="K6" s="87"/>
    </row>
    <row r="7" spans="1:11" ht="27.75" customHeight="1" x14ac:dyDescent="0.25">
      <c r="A7" s="72" t="s">
        <v>31</v>
      </c>
      <c r="B7" s="392" t="s">
        <v>100</v>
      </c>
      <c r="C7" s="22" t="s">
        <v>7</v>
      </c>
      <c r="D7" s="21" t="e">
        <f>LOOKUP(C7,#REF!,#REF!)</f>
        <v>#REF!</v>
      </c>
      <c r="E7" s="22" t="e">
        <f>LOOKUP(C7,#REF!,#REF!)</f>
        <v>#REF!</v>
      </c>
      <c r="F7" s="23"/>
      <c r="G7" s="28">
        <f>F7*G4</f>
        <v>0</v>
      </c>
      <c r="H7" s="23">
        <f>H8*0.3</f>
        <v>0.3</v>
      </c>
      <c r="I7" s="45">
        <f>G7*H7</f>
        <v>0</v>
      </c>
      <c r="J7" s="47"/>
      <c r="K7" s="71" t="e">
        <f>I7/J32</f>
        <v>#DIV/0!</v>
      </c>
    </row>
    <row r="8" spans="1:11" ht="27" thickBot="1" x14ac:dyDescent="0.3">
      <c r="A8" s="72" t="s">
        <v>32</v>
      </c>
      <c r="B8" s="392" t="s">
        <v>100</v>
      </c>
      <c r="C8" s="334" t="s">
        <v>98</v>
      </c>
      <c r="D8" s="21" t="e">
        <f>LOOKUP(C8,#REF!,#REF!)</f>
        <v>#REF!</v>
      </c>
      <c r="E8" s="22" t="e">
        <f>LOOKUP(C8,#REF!,#REF!)</f>
        <v>#REF!</v>
      </c>
      <c r="F8" s="23"/>
      <c r="G8" s="28">
        <f>F8*G4</f>
        <v>0</v>
      </c>
      <c r="H8" s="23">
        <v>1</v>
      </c>
      <c r="I8" s="45">
        <f>G8*H8</f>
        <v>0</v>
      </c>
      <c r="J8" s="47"/>
      <c r="K8" s="71" t="e">
        <f>I8/J32</f>
        <v>#DIV/0!</v>
      </c>
    </row>
    <row r="9" spans="1:11" ht="15.75" thickBot="1" x14ac:dyDescent="0.3">
      <c r="A9" s="467"/>
      <c r="B9" s="468"/>
      <c r="C9" s="468"/>
      <c r="D9" s="468"/>
      <c r="E9" s="469"/>
      <c r="F9" s="74"/>
      <c r="G9" s="74"/>
      <c r="H9" s="58" t="s">
        <v>73</v>
      </c>
      <c r="I9" s="46"/>
      <c r="J9" s="75">
        <f>SUM(I7:I8)</f>
        <v>0</v>
      </c>
      <c r="K9" s="76" t="e">
        <f>J9/J32</f>
        <v>#DIV/0!</v>
      </c>
    </row>
    <row r="10" spans="1:11" x14ac:dyDescent="0.25">
      <c r="A10" s="34" t="s">
        <v>86</v>
      </c>
      <c r="B10" s="86"/>
      <c r="C10" s="26"/>
      <c r="D10" s="91" t="s">
        <v>78</v>
      </c>
      <c r="E10" s="35"/>
      <c r="F10" s="23"/>
      <c r="G10" s="23"/>
      <c r="H10" s="23"/>
      <c r="I10" s="47"/>
      <c r="J10" s="47"/>
      <c r="K10" s="87"/>
    </row>
    <row r="11" spans="1:11" ht="27" thickBot="1" x14ac:dyDescent="0.3">
      <c r="A11" s="36" t="s">
        <v>33</v>
      </c>
      <c r="B11" s="146" t="s">
        <v>100</v>
      </c>
      <c r="C11" s="22" t="s">
        <v>1</v>
      </c>
      <c r="D11" s="21" t="e">
        <f>LOOKUP(C11,#REF!,#REF!)</f>
        <v>#REF!</v>
      </c>
      <c r="E11" s="22" t="e">
        <f>LOOKUP(C11,#REF!,#REF!)</f>
        <v>#REF!</v>
      </c>
      <c r="F11" s="23"/>
      <c r="G11" s="28">
        <f>F11*G4</f>
        <v>0</v>
      </c>
      <c r="H11" s="23">
        <v>1079.42</v>
      </c>
      <c r="I11" s="45">
        <f>G11*H11</f>
        <v>0</v>
      </c>
      <c r="J11" s="47"/>
      <c r="K11" s="71" t="e">
        <f>I11/J32</f>
        <v>#DIV/0!</v>
      </c>
    </row>
    <row r="12" spans="1:11" ht="15.75" thickBot="1" x14ac:dyDescent="0.3">
      <c r="A12" s="92"/>
      <c r="B12" s="65"/>
      <c r="C12" s="65"/>
      <c r="D12" s="37"/>
      <c r="E12" s="66"/>
      <c r="F12" s="74"/>
      <c r="G12" s="74"/>
      <c r="H12" s="58" t="s">
        <v>61</v>
      </c>
      <c r="I12" s="46"/>
      <c r="J12" s="75">
        <f>SUM(I11:I11)</f>
        <v>0</v>
      </c>
      <c r="K12" s="76" t="e">
        <f>J12/J32</f>
        <v>#DIV/0!</v>
      </c>
    </row>
    <row r="13" spans="1:11" x14ac:dyDescent="0.25">
      <c r="A13" s="34" t="s">
        <v>87</v>
      </c>
      <c r="B13" s="86"/>
      <c r="C13" s="26"/>
      <c r="D13" s="91" t="s">
        <v>15</v>
      </c>
      <c r="E13" s="26"/>
      <c r="F13" s="23"/>
      <c r="G13" s="23"/>
      <c r="H13" s="23"/>
      <c r="I13" s="47"/>
      <c r="J13" s="47"/>
      <c r="K13" s="87"/>
    </row>
    <row r="14" spans="1:11" ht="39" x14ac:dyDescent="0.25">
      <c r="A14" s="36" t="s">
        <v>37</v>
      </c>
      <c r="B14" s="125" t="s">
        <v>100</v>
      </c>
      <c r="C14" s="22" t="s">
        <v>3</v>
      </c>
      <c r="D14" s="21" t="e">
        <f>LOOKUP(C14,#REF!,#REF!)</f>
        <v>#REF!</v>
      </c>
      <c r="E14" s="22" t="e">
        <f>LOOKUP(C14,#REF!,#REF!)</f>
        <v>#REF!</v>
      </c>
      <c r="F14" s="23"/>
      <c r="G14" s="38">
        <f>F14*G4</f>
        <v>0</v>
      </c>
      <c r="H14" s="23">
        <v>1079.42</v>
      </c>
      <c r="I14" s="45">
        <f>G14*H14</f>
        <v>0</v>
      </c>
      <c r="J14" s="47"/>
      <c r="K14" s="71" t="e">
        <f>I14/J32</f>
        <v>#DIV/0!</v>
      </c>
    </row>
    <row r="15" spans="1:11" ht="77.25" x14ac:dyDescent="0.25">
      <c r="A15" s="36" t="s">
        <v>38</v>
      </c>
      <c r="B15" s="135" t="s">
        <v>101</v>
      </c>
      <c r="C15" s="24">
        <v>94274</v>
      </c>
      <c r="D15" s="33" t="s">
        <v>5</v>
      </c>
      <c r="E15" s="22" t="s">
        <v>0</v>
      </c>
      <c r="F15" s="23"/>
      <c r="G15" s="38">
        <f>F15*G4</f>
        <v>0</v>
      </c>
      <c r="H15" s="23">
        <v>2</v>
      </c>
      <c r="I15" s="45">
        <f>G15*H15</f>
        <v>0</v>
      </c>
      <c r="J15" s="47"/>
      <c r="K15" s="71" t="e">
        <f>I15/J32</f>
        <v>#DIV/0!</v>
      </c>
    </row>
    <row r="16" spans="1:11" ht="77.25" x14ac:dyDescent="0.25">
      <c r="A16" s="36" t="s">
        <v>39</v>
      </c>
      <c r="B16" s="135" t="s">
        <v>101</v>
      </c>
      <c r="C16" s="24">
        <v>94275</v>
      </c>
      <c r="D16" s="33" t="s">
        <v>80</v>
      </c>
      <c r="E16" s="22" t="s">
        <v>0</v>
      </c>
      <c r="F16" s="23"/>
      <c r="G16" s="38">
        <f>F16*G4</f>
        <v>0</v>
      </c>
      <c r="H16" s="23">
        <v>22</v>
      </c>
      <c r="I16" s="45">
        <f>G16*H16</f>
        <v>0</v>
      </c>
      <c r="J16" s="47"/>
      <c r="K16" s="71" t="e">
        <f>I16/J32</f>
        <v>#DIV/0!</v>
      </c>
    </row>
    <row r="17" spans="1:14" ht="27" thickBot="1" x14ac:dyDescent="0.3">
      <c r="A17" s="36" t="s">
        <v>110</v>
      </c>
      <c r="B17" s="125" t="s">
        <v>100</v>
      </c>
      <c r="C17" s="22" t="s">
        <v>2</v>
      </c>
      <c r="D17" s="21" t="e">
        <f>LOOKUP(C17,#REF!,#REF!)</f>
        <v>#REF!</v>
      </c>
      <c r="E17" s="22" t="e">
        <f>LOOKUP(C17,#REF!,#REF!)</f>
        <v>#REF!</v>
      </c>
      <c r="F17" s="23"/>
      <c r="G17" s="38">
        <f>F17*G4</f>
        <v>0</v>
      </c>
      <c r="H17" s="23">
        <f>(H15+H16)*0.11*0.3</f>
        <v>0.79200000000000004</v>
      </c>
      <c r="I17" s="45">
        <f>G17*H17</f>
        <v>0</v>
      </c>
      <c r="J17" s="47"/>
      <c r="K17" s="71" t="e">
        <f>I17/J32</f>
        <v>#DIV/0!</v>
      </c>
    </row>
    <row r="18" spans="1:14" ht="15.75" thickBot="1" x14ac:dyDescent="0.3">
      <c r="A18" s="92"/>
      <c r="B18" s="65"/>
      <c r="C18" s="65"/>
      <c r="D18" s="37"/>
      <c r="E18" s="66"/>
      <c r="F18" s="74"/>
      <c r="G18" s="74"/>
      <c r="H18" s="58" t="s">
        <v>62</v>
      </c>
      <c r="I18" s="46"/>
      <c r="J18" s="75">
        <f>SUM(I14:I17)</f>
        <v>0</v>
      </c>
      <c r="K18" s="76" t="e">
        <f>J18/J32</f>
        <v>#DIV/0!</v>
      </c>
    </row>
    <row r="19" spans="1:14" x14ac:dyDescent="0.25">
      <c r="A19" s="34" t="s">
        <v>88</v>
      </c>
      <c r="B19" s="86"/>
      <c r="C19" s="26"/>
      <c r="D19" s="39" t="s">
        <v>115</v>
      </c>
      <c r="E19" s="26"/>
      <c r="F19" s="23"/>
      <c r="G19" s="23"/>
      <c r="H19" s="23"/>
      <c r="I19" s="47"/>
      <c r="J19" s="47"/>
      <c r="K19" s="87"/>
    </row>
    <row r="20" spans="1:14" ht="26.25" x14ac:dyDescent="0.25">
      <c r="A20" s="36" t="s">
        <v>41</v>
      </c>
      <c r="B20" s="135" t="s">
        <v>101</v>
      </c>
      <c r="C20" s="22">
        <v>72947</v>
      </c>
      <c r="D20" s="21" t="s">
        <v>69</v>
      </c>
      <c r="E20" s="22" t="s">
        <v>9</v>
      </c>
      <c r="F20" s="23"/>
      <c r="G20" s="28">
        <f>F20*G4</f>
        <v>0</v>
      </c>
      <c r="H20" s="23">
        <f>15.72*2</f>
        <v>31.44</v>
      </c>
      <c r="I20" s="45">
        <f>G20*H20</f>
        <v>0</v>
      </c>
      <c r="J20" s="47"/>
      <c r="K20" s="71" t="e">
        <f>I20/J32</f>
        <v>#DIV/0!</v>
      </c>
    </row>
    <row r="21" spans="1:14" ht="26.25" x14ac:dyDescent="0.25">
      <c r="A21" s="36" t="s">
        <v>42</v>
      </c>
      <c r="B21" s="125" t="s">
        <v>100</v>
      </c>
      <c r="C21" s="22" t="s">
        <v>11</v>
      </c>
      <c r="D21" s="21" t="e">
        <f>LOOKUP(C21,#REF!,#REF!)</f>
        <v>#REF!</v>
      </c>
      <c r="E21" s="22" t="e">
        <f>LOOKUP(C21,#REF!,#REF!)</f>
        <v>#REF!</v>
      </c>
      <c r="F21" s="23"/>
      <c r="G21" s="28">
        <f>F21*G4</f>
        <v>0</v>
      </c>
      <c r="H21" s="23">
        <f>0.32*2</f>
        <v>0.64</v>
      </c>
      <c r="I21" s="45">
        <f t="shared" ref="I21:I30" si="0">G21*H21</f>
        <v>0</v>
      </c>
      <c r="J21" s="47"/>
      <c r="K21" s="71" t="e">
        <f>I21/J32</f>
        <v>#DIV/0!</v>
      </c>
    </row>
    <row r="22" spans="1:14" x14ac:dyDescent="0.25">
      <c r="A22" s="36" t="s">
        <v>43</v>
      </c>
      <c r="B22" s="125" t="s">
        <v>100</v>
      </c>
      <c r="C22" s="30" t="s">
        <v>19</v>
      </c>
      <c r="D22" s="21" t="e">
        <f>LOOKUP(C22,#REF!,#REF!)</f>
        <v>#REF!</v>
      </c>
      <c r="E22" s="22" t="e">
        <f>LOOKUP(C22,#REF!,#REF!)</f>
        <v>#REF!</v>
      </c>
      <c r="F22" s="23"/>
      <c r="G22" s="28">
        <f>F22*G4</f>
        <v>0</v>
      </c>
      <c r="H22" s="23">
        <f>5*3</f>
        <v>15</v>
      </c>
      <c r="I22" s="45">
        <f t="shared" si="0"/>
        <v>0</v>
      </c>
      <c r="J22" s="47"/>
      <c r="K22" s="71" t="e">
        <f>I22/J32</f>
        <v>#DIV/0!</v>
      </c>
    </row>
    <row r="23" spans="1:14" ht="26.25" x14ac:dyDescent="0.25">
      <c r="A23" s="36" t="s">
        <v>44</v>
      </c>
      <c r="B23" s="125" t="s">
        <v>100</v>
      </c>
      <c r="C23" s="30" t="s">
        <v>95</v>
      </c>
      <c r="D23" s="21" t="e">
        <f>LOOKUP(C23,#REF!,#REF!)</f>
        <v>#REF!</v>
      </c>
      <c r="E23" s="22" t="e">
        <f>LOOKUP(C23,#REF!,#REF!)</f>
        <v>#REF!</v>
      </c>
      <c r="F23" s="23"/>
      <c r="G23" s="28">
        <f>F23*G4</f>
        <v>0</v>
      </c>
      <c r="H23" s="23">
        <f>5*0.5</f>
        <v>2.5</v>
      </c>
      <c r="I23" s="45">
        <f>G23*H23</f>
        <v>0</v>
      </c>
      <c r="J23" s="47"/>
      <c r="K23" s="71" t="e">
        <f>I23/J32</f>
        <v>#DIV/0!</v>
      </c>
    </row>
    <row r="24" spans="1:14" s="5" customFormat="1" ht="26.25" x14ac:dyDescent="0.25">
      <c r="A24" s="36" t="s">
        <v>45</v>
      </c>
      <c r="B24" s="135" t="s">
        <v>101</v>
      </c>
      <c r="C24" s="30" t="s">
        <v>105</v>
      </c>
      <c r="D24" s="29" t="s">
        <v>57</v>
      </c>
      <c r="E24" s="32" t="s">
        <v>12</v>
      </c>
      <c r="F24" s="23"/>
      <c r="G24" s="28">
        <f>F24*G4</f>
        <v>0</v>
      </c>
      <c r="H24" s="23">
        <v>6</v>
      </c>
      <c r="I24" s="45">
        <f t="shared" si="0"/>
        <v>0</v>
      </c>
      <c r="J24" s="47"/>
      <c r="K24" s="71" t="e">
        <f>I24/J32</f>
        <v>#DIV/0!</v>
      </c>
      <c r="N24" s="5">
        <v>4</v>
      </c>
    </row>
    <row r="25" spans="1:14" s="6" customFormat="1" ht="30" customHeight="1" x14ac:dyDescent="0.25">
      <c r="A25" s="36" t="s">
        <v>46</v>
      </c>
      <c r="B25" s="125" t="s">
        <v>100</v>
      </c>
      <c r="C25" s="22" t="s">
        <v>10</v>
      </c>
      <c r="D25" s="21" t="s">
        <v>58</v>
      </c>
      <c r="E25" s="22" t="e">
        <f>LOOKUP(C25,#REF!,#REF!)</f>
        <v>#REF!</v>
      </c>
      <c r="F25" s="23"/>
      <c r="G25" s="28">
        <f>F25*G4</f>
        <v>0</v>
      </c>
      <c r="H25" s="23">
        <v>50.76</v>
      </c>
      <c r="I25" s="45">
        <f t="shared" si="0"/>
        <v>0</v>
      </c>
      <c r="J25" s="47"/>
      <c r="K25" s="71" t="e">
        <f>I25/J32</f>
        <v>#DIV/0!</v>
      </c>
    </row>
    <row r="26" spans="1:14" s="6" customFormat="1" ht="30" customHeight="1" x14ac:dyDescent="0.25">
      <c r="A26" s="36" t="s">
        <v>117</v>
      </c>
      <c r="B26" s="125" t="s">
        <v>100</v>
      </c>
      <c r="C26" s="128" t="s">
        <v>96</v>
      </c>
      <c r="D26" s="201" t="e">
        <f>LOOKUP(C26,#REF!,#REF!)</f>
        <v>#REF!</v>
      </c>
      <c r="E26" s="200" t="e">
        <f>LOOKUP(C26,#REF!,#REF!)</f>
        <v>#REF!</v>
      </c>
      <c r="F26" s="202"/>
      <c r="G26" s="138">
        <f>F26*G4</f>
        <v>0</v>
      </c>
      <c r="H26" s="353">
        <f>1.13*N24</f>
        <v>4.5199999999999996</v>
      </c>
      <c r="I26" s="139">
        <f t="shared" si="0"/>
        <v>0</v>
      </c>
      <c r="J26" s="212"/>
      <c r="K26" s="132" t="e">
        <f>I26/$J$31</f>
        <v>#DIV/0!</v>
      </c>
    </row>
    <row r="27" spans="1:14" s="6" customFormat="1" ht="38.25" x14ac:dyDescent="0.25">
      <c r="A27" s="36" t="s">
        <v>118</v>
      </c>
      <c r="B27" s="125" t="s">
        <v>100</v>
      </c>
      <c r="C27" s="128" t="s">
        <v>97</v>
      </c>
      <c r="D27" s="201" t="e">
        <f>LOOKUP(C27,#REF!,#REF!)</f>
        <v>#REF!</v>
      </c>
      <c r="E27" s="200" t="e">
        <f>LOOKUP(C27,#REF!,#REF!)</f>
        <v>#REF!</v>
      </c>
      <c r="F27" s="202"/>
      <c r="G27" s="138">
        <f>F27*G4</f>
        <v>0</v>
      </c>
      <c r="H27" s="353">
        <f>1.13*N24</f>
        <v>4.5199999999999996</v>
      </c>
      <c r="I27" s="139">
        <f t="shared" si="0"/>
        <v>0</v>
      </c>
      <c r="J27" s="212"/>
      <c r="K27" s="132" t="e">
        <f>I27/$J$31</f>
        <v>#DIV/0!</v>
      </c>
    </row>
    <row r="28" spans="1:14" s="6" customFormat="1" ht="30" customHeight="1" x14ac:dyDescent="0.25">
      <c r="A28" s="36" t="s">
        <v>119</v>
      </c>
      <c r="B28" s="125" t="s">
        <v>100</v>
      </c>
      <c r="C28" s="128" t="s">
        <v>94</v>
      </c>
      <c r="D28" s="201" t="e">
        <f>LOOKUP(C28,#REF!,#REF!)</f>
        <v>#REF!</v>
      </c>
      <c r="E28" s="200" t="e">
        <f>LOOKUP(C28,#REF!,#REF!)</f>
        <v>#REF!</v>
      </c>
      <c r="F28" s="202"/>
      <c r="G28" s="138">
        <f>F28*G4</f>
        <v>0</v>
      </c>
      <c r="H28" s="353">
        <f>0.26*N24</f>
        <v>1.04</v>
      </c>
      <c r="I28" s="139">
        <f t="shared" si="0"/>
        <v>0</v>
      </c>
      <c r="J28" s="212"/>
      <c r="K28" s="132" t="e">
        <f>I28/$J$31</f>
        <v>#DIV/0!</v>
      </c>
    </row>
    <row r="29" spans="1:14" s="6" customFormat="1" ht="30" customHeight="1" x14ac:dyDescent="0.25">
      <c r="A29" s="36" t="s">
        <v>120</v>
      </c>
      <c r="B29" s="125" t="s">
        <v>100</v>
      </c>
      <c r="C29" s="128" t="s">
        <v>92</v>
      </c>
      <c r="D29" s="201" t="e">
        <f>LOOKUP(C29,#REF!,#REF!)</f>
        <v>#REF!</v>
      </c>
      <c r="E29" s="200" t="e">
        <f>LOOKUP(C29,#REF!,#REF!)</f>
        <v>#REF!</v>
      </c>
      <c r="F29" s="202"/>
      <c r="G29" s="138">
        <f>F29*G4</f>
        <v>0</v>
      </c>
      <c r="H29" s="353">
        <f>0.97*N24</f>
        <v>3.88</v>
      </c>
      <c r="I29" s="139">
        <f t="shared" si="0"/>
        <v>0</v>
      </c>
      <c r="J29" s="212"/>
      <c r="K29" s="132" t="e">
        <f>I29/$J$31</f>
        <v>#DIV/0!</v>
      </c>
    </row>
    <row r="30" spans="1:14" s="6" customFormat="1" ht="30" customHeight="1" thickBot="1" x14ac:dyDescent="0.3">
      <c r="A30" s="36" t="s">
        <v>121</v>
      </c>
      <c r="B30" s="125" t="s">
        <v>100</v>
      </c>
      <c r="C30" s="128" t="s">
        <v>93</v>
      </c>
      <c r="D30" s="201" t="e">
        <f>LOOKUP(C30,#REF!,#REF!)</f>
        <v>#REF!</v>
      </c>
      <c r="E30" s="200" t="e">
        <f>LOOKUP(C30,#REF!,#REF!)</f>
        <v>#REF!</v>
      </c>
      <c r="F30" s="202"/>
      <c r="G30" s="138">
        <f>F30*G4</f>
        <v>0</v>
      </c>
      <c r="H30" s="353">
        <f>0.97*N24</f>
        <v>3.88</v>
      </c>
      <c r="I30" s="139">
        <f t="shared" si="0"/>
        <v>0</v>
      </c>
      <c r="J30" s="212"/>
      <c r="K30" s="132" t="e">
        <f>I30/$J$31</f>
        <v>#DIV/0!</v>
      </c>
    </row>
    <row r="31" spans="1:14" s="6" customFormat="1" ht="15.75" customHeight="1" thickBot="1" x14ac:dyDescent="0.3">
      <c r="A31" s="467"/>
      <c r="B31" s="468"/>
      <c r="C31" s="468"/>
      <c r="D31" s="468"/>
      <c r="E31" s="469"/>
      <c r="F31" s="74"/>
      <c r="G31" s="74"/>
      <c r="H31" s="58" t="s">
        <v>63</v>
      </c>
      <c r="I31" s="46"/>
      <c r="J31" s="75">
        <f>SUM(I20:I30)</f>
        <v>0</v>
      </c>
      <c r="K31" s="76" t="e">
        <f>J31/J32</f>
        <v>#DIV/0!</v>
      </c>
    </row>
    <row r="32" spans="1:14" s="155" customFormat="1" ht="27.75" customHeight="1" thickBot="1" x14ac:dyDescent="0.3">
      <c r="A32" s="470" t="s">
        <v>127</v>
      </c>
      <c r="B32" s="510"/>
      <c r="C32" s="510"/>
      <c r="D32" s="510"/>
      <c r="E32" s="510"/>
      <c r="F32" s="510"/>
      <c r="G32" s="510"/>
      <c r="H32" s="510"/>
      <c r="I32" s="511"/>
      <c r="J32" s="77">
        <f>SUM(J5:J31)</f>
        <v>0</v>
      </c>
      <c r="K32" s="163" t="e">
        <f>K9+K12+K18+K31</f>
        <v>#DIV/0!</v>
      </c>
      <c r="M32" s="64"/>
    </row>
    <row r="33" spans="1:11" x14ac:dyDescent="0.25">
      <c r="A33" s="10"/>
      <c r="B33" s="117" t="s">
        <v>140</v>
      </c>
      <c r="C33" s="10"/>
      <c r="D33" s="11"/>
      <c r="E33" s="10"/>
      <c r="F33" s="117"/>
      <c r="G33" s="117"/>
      <c r="H33" s="117"/>
      <c r="I33" s="44"/>
      <c r="J33" s="41"/>
      <c r="K33" s="157"/>
    </row>
    <row r="34" spans="1:11" x14ac:dyDescent="0.25">
      <c r="B34" s="497" t="s">
        <v>102</v>
      </c>
      <c r="C34" s="497"/>
      <c r="H34" s="413" t="s">
        <v>167</v>
      </c>
      <c r="I34" s="413"/>
      <c r="J34" s="413"/>
      <c r="K34" s="413"/>
    </row>
    <row r="35" spans="1:11" x14ac:dyDescent="0.25">
      <c r="B35" s="498" t="s">
        <v>103</v>
      </c>
      <c r="C35" s="498"/>
      <c r="D35" s="2" t="s">
        <v>163</v>
      </c>
      <c r="J35" s="185"/>
    </row>
    <row r="36" spans="1:11" x14ac:dyDescent="0.25">
      <c r="B36" s="498" t="s">
        <v>104</v>
      </c>
      <c r="C36" s="498"/>
    </row>
    <row r="37" spans="1:11" x14ac:dyDescent="0.25">
      <c r="B37" s="359"/>
      <c r="C37" s="359"/>
      <c r="D37" s="378"/>
      <c r="E37" s="399"/>
      <c r="F37" s="372"/>
      <c r="G37" s="372"/>
      <c r="H37" s="372"/>
      <c r="I37" s="537"/>
      <c r="J37" s="538"/>
      <c r="K37" s="539"/>
    </row>
    <row r="38" spans="1:11" x14ac:dyDescent="0.25">
      <c r="D38" s="403"/>
      <c r="E38" s="403"/>
      <c r="F38" s="402"/>
      <c r="G38" s="533"/>
      <c r="H38" s="403"/>
      <c r="I38" s="403"/>
      <c r="J38" s="403"/>
      <c r="K38" s="403"/>
    </row>
    <row r="39" spans="1:11" x14ac:dyDescent="0.25">
      <c r="D39" s="403"/>
      <c r="E39" s="403"/>
      <c r="F39" s="401"/>
      <c r="G39" s="536"/>
      <c r="H39" s="403"/>
      <c r="I39" s="403"/>
      <c r="J39" s="403"/>
      <c r="K39" s="403"/>
    </row>
    <row r="40" spans="1:11" x14ac:dyDescent="0.25">
      <c r="D40" s="403"/>
      <c r="E40" s="403"/>
      <c r="F40" s="401"/>
      <c r="G40" s="401"/>
      <c r="H40" s="414"/>
      <c r="I40" s="414"/>
      <c r="J40" s="414"/>
      <c r="K40" s="414"/>
    </row>
    <row r="41" spans="1:11" x14ac:dyDescent="0.25">
      <c r="D41" s="362"/>
      <c r="E41" s="360"/>
      <c r="F41" s="401"/>
      <c r="G41" s="401"/>
      <c r="H41" s="6"/>
      <c r="I41" s="243"/>
      <c r="J41" s="244"/>
      <c r="K41" s="241"/>
    </row>
    <row r="42" spans="1:11" x14ac:dyDescent="0.25">
      <c r="D42" s="362"/>
      <c r="E42" s="360"/>
      <c r="F42" s="401"/>
      <c r="G42" s="401"/>
      <c r="H42" s="6"/>
      <c r="I42" s="243"/>
      <c r="J42" s="244"/>
      <c r="K42" s="241"/>
    </row>
    <row r="43" spans="1:11" x14ac:dyDescent="0.25">
      <c r="D43" s="362"/>
      <c r="E43" s="360"/>
      <c r="F43" s="401"/>
      <c r="G43" s="401"/>
      <c r="H43" s="6"/>
      <c r="I43" s="243"/>
      <c r="J43" s="244"/>
      <c r="K43" s="241"/>
    </row>
    <row r="44" spans="1:11" x14ac:dyDescent="0.25">
      <c r="D44" s="362"/>
      <c r="E44" s="360"/>
      <c r="F44" s="401"/>
      <c r="G44" s="401"/>
      <c r="H44" s="403"/>
      <c r="I44" s="403"/>
      <c r="J44" s="403"/>
      <c r="K44" s="403"/>
    </row>
    <row r="45" spans="1:11" x14ac:dyDescent="0.25">
      <c r="D45" s="362"/>
      <c r="E45" s="360"/>
      <c r="F45" s="401"/>
      <c r="G45" s="401"/>
      <c r="H45" s="403"/>
      <c r="I45" s="403"/>
      <c r="J45" s="403"/>
      <c r="K45" s="403"/>
    </row>
    <row r="46" spans="1:11" x14ac:dyDescent="0.25">
      <c r="D46" s="362"/>
      <c r="E46" s="360"/>
      <c r="F46" s="401"/>
      <c r="G46" s="401"/>
      <c r="H46" s="403"/>
      <c r="I46" s="403"/>
      <c r="J46" s="403"/>
      <c r="K46" s="403"/>
    </row>
  </sheetData>
  <mergeCells count="27">
    <mergeCell ref="H44:K44"/>
    <mergeCell ref="H45:K45"/>
    <mergeCell ref="H46:K46"/>
    <mergeCell ref="D38:E38"/>
    <mergeCell ref="H38:K38"/>
    <mergeCell ref="D39:E39"/>
    <mergeCell ref="H39:K39"/>
    <mergeCell ref="D40:E40"/>
    <mergeCell ref="H40:K40"/>
    <mergeCell ref="A1:K1"/>
    <mergeCell ref="A9:E9"/>
    <mergeCell ref="A2:A4"/>
    <mergeCell ref="B2:B4"/>
    <mergeCell ref="C2:C4"/>
    <mergeCell ref="D2:D4"/>
    <mergeCell ref="E2:E4"/>
    <mergeCell ref="F2:F4"/>
    <mergeCell ref="H2:H4"/>
    <mergeCell ref="I2:I4"/>
    <mergeCell ref="J2:J4"/>
    <mergeCell ref="K2:K4"/>
    <mergeCell ref="A31:E31"/>
    <mergeCell ref="B34:C34"/>
    <mergeCell ref="B35:C35"/>
    <mergeCell ref="B36:C36"/>
    <mergeCell ref="A32:I32"/>
    <mergeCell ref="H34:K34"/>
  </mergeCells>
  <printOptions horizontalCentered="1"/>
  <pageMargins left="0.11811023622047245" right="0.15748031496062992" top="1.1811023622047245" bottom="1.1811023622047245" header="0.31496062992125984" footer="0.31496062992125984"/>
  <pageSetup paperSize="9" scale="62"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view="pageBreakPreview" zoomScaleNormal="84" zoomScaleSheetLayoutView="100" workbookViewId="0">
      <selection sqref="A1:K1"/>
    </sheetView>
  </sheetViews>
  <sheetFormatPr defaultRowHeight="15" x14ac:dyDescent="0.2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3.42578125" style="250" customWidth="1"/>
    <col min="11" max="11" width="9.140625" style="251"/>
    <col min="12" max="16384" width="9.140625" style="190"/>
  </cols>
  <sheetData>
    <row r="1" spans="1:11" ht="36" customHeight="1" thickBot="1" x14ac:dyDescent="0.3">
      <c r="A1" s="516" t="s">
        <v>149</v>
      </c>
      <c r="B1" s="517"/>
      <c r="C1" s="517"/>
      <c r="D1" s="517"/>
      <c r="E1" s="517"/>
      <c r="F1" s="517"/>
      <c r="G1" s="517"/>
      <c r="H1" s="517"/>
      <c r="I1" s="517"/>
      <c r="J1" s="517"/>
      <c r="K1" s="518"/>
    </row>
    <row r="2" spans="1:11" ht="43.5" customHeight="1" x14ac:dyDescent="0.25">
      <c r="A2" s="494" t="s">
        <v>20</v>
      </c>
      <c r="B2" s="476" t="s">
        <v>21</v>
      </c>
      <c r="C2" s="476" t="s">
        <v>6</v>
      </c>
      <c r="D2" s="476" t="s">
        <v>27</v>
      </c>
      <c r="E2" s="479" t="s">
        <v>22</v>
      </c>
      <c r="F2" s="479" t="s">
        <v>65</v>
      </c>
      <c r="G2" s="265" t="s">
        <v>74</v>
      </c>
      <c r="H2" s="479" t="s">
        <v>23</v>
      </c>
      <c r="I2" s="485" t="s">
        <v>24</v>
      </c>
      <c r="J2" s="488" t="s">
        <v>40</v>
      </c>
      <c r="K2" s="491" t="s">
        <v>25</v>
      </c>
    </row>
    <row r="3" spans="1:11" ht="29.25" customHeight="1" x14ac:dyDescent="0.25">
      <c r="A3" s="495"/>
      <c r="B3" s="477"/>
      <c r="C3" s="477"/>
      <c r="D3" s="477"/>
      <c r="E3" s="480"/>
      <c r="F3" s="480"/>
      <c r="G3" s="116">
        <v>20.09</v>
      </c>
      <c r="H3" s="480"/>
      <c r="I3" s="486"/>
      <c r="J3" s="489"/>
      <c r="K3" s="492"/>
    </row>
    <row r="4" spans="1:11" ht="15.75" hidden="1" customHeight="1" x14ac:dyDescent="0.25">
      <c r="A4" s="496"/>
      <c r="B4" s="478"/>
      <c r="C4" s="478"/>
      <c r="D4" s="478"/>
      <c r="E4" s="481"/>
      <c r="F4" s="481"/>
      <c r="G4" s="195">
        <f>(G3/100)+1</f>
        <v>1.2009000000000001</v>
      </c>
      <c r="H4" s="481"/>
      <c r="I4" s="487"/>
      <c r="J4" s="490"/>
      <c r="K4" s="493"/>
    </row>
    <row r="5" spans="1:11" x14ac:dyDescent="0.25">
      <c r="A5" s="79" t="s">
        <v>84</v>
      </c>
      <c r="B5" s="266"/>
      <c r="C5" s="267"/>
      <c r="D5" s="82" t="s">
        <v>13</v>
      </c>
      <c r="E5" s="83"/>
      <c r="F5" s="83"/>
      <c r="G5" s="83"/>
      <c r="H5" s="268"/>
      <c r="I5" s="269"/>
      <c r="J5" s="84"/>
      <c r="K5" s="85"/>
    </row>
    <row r="6" spans="1:11" x14ac:dyDescent="0.25">
      <c r="A6" s="282" t="s">
        <v>85</v>
      </c>
      <c r="B6" s="275"/>
      <c r="C6" s="280"/>
      <c r="D6" s="91" t="s">
        <v>78</v>
      </c>
      <c r="E6" s="283"/>
      <c r="F6" s="272"/>
      <c r="G6" s="272"/>
      <c r="H6" s="272"/>
      <c r="I6" s="276"/>
      <c r="J6" s="276"/>
      <c r="K6" s="87"/>
    </row>
    <row r="7" spans="1:11" ht="27" thickBot="1" x14ac:dyDescent="0.3">
      <c r="A7" s="284" t="s">
        <v>31</v>
      </c>
      <c r="B7" s="70" t="s">
        <v>100</v>
      </c>
      <c r="C7" s="270" t="s">
        <v>1</v>
      </c>
      <c r="D7" s="271" t="e">
        <f>LOOKUP(C7,#REF!,#REF!)</f>
        <v>#REF!</v>
      </c>
      <c r="E7" s="270" t="e">
        <f>LOOKUP(C7,#REF!,#REF!)</f>
        <v>#REF!</v>
      </c>
      <c r="F7" s="202"/>
      <c r="G7" s="28">
        <f>F7*G4</f>
        <v>0</v>
      </c>
      <c r="H7" s="272">
        <v>593.26</v>
      </c>
      <c r="I7" s="45">
        <f>G7*H7</f>
        <v>0</v>
      </c>
      <c r="J7" s="276"/>
      <c r="K7" s="71" t="e">
        <f>I7/J27</f>
        <v>#DIV/0!</v>
      </c>
    </row>
    <row r="8" spans="1:11" ht="15.75" thickBot="1" x14ac:dyDescent="0.3">
      <c r="A8" s="92"/>
      <c r="B8" s="285"/>
      <c r="C8" s="285"/>
      <c r="D8" s="286"/>
      <c r="E8" s="287"/>
      <c r="F8" s="274"/>
      <c r="G8" s="274"/>
      <c r="H8" s="58" t="s">
        <v>73</v>
      </c>
      <c r="I8" s="46"/>
      <c r="J8" s="279">
        <f>SUM(I7:I7)</f>
        <v>0</v>
      </c>
      <c r="K8" s="76" t="e">
        <f>J8/J27</f>
        <v>#DIV/0!</v>
      </c>
    </row>
    <row r="9" spans="1:11" x14ac:dyDescent="0.25">
      <c r="A9" s="282" t="s">
        <v>86</v>
      </c>
      <c r="B9" s="275"/>
      <c r="C9" s="280"/>
      <c r="D9" s="91" t="s">
        <v>15</v>
      </c>
      <c r="E9" s="280"/>
      <c r="F9" s="272"/>
      <c r="G9" s="272"/>
      <c r="H9" s="272"/>
      <c r="I9" s="276"/>
      <c r="J9" s="276"/>
      <c r="K9" s="87"/>
    </row>
    <row r="10" spans="1:11" ht="39" x14ac:dyDescent="0.25">
      <c r="A10" s="222" t="s">
        <v>33</v>
      </c>
      <c r="B10" s="125" t="s">
        <v>100</v>
      </c>
      <c r="C10" s="200" t="s">
        <v>3</v>
      </c>
      <c r="D10" s="271" t="e">
        <f>LOOKUP(C10,#REF!,#REF!)</f>
        <v>#REF!</v>
      </c>
      <c r="E10" s="270" t="e">
        <f>LOOKUP(C10,#REF!,#REF!)</f>
        <v>#REF!</v>
      </c>
      <c r="F10" s="202"/>
      <c r="G10" s="138">
        <f>F10*G4</f>
        <v>0</v>
      </c>
      <c r="H10" s="202">
        <v>593.26</v>
      </c>
      <c r="I10" s="139">
        <f>G10*H10</f>
        <v>0</v>
      </c>
      <c r="J10" s="212"/>
      <c r="K10" s="132" t="e">
        <f>I10/J27</f>
        <v>#DIV/0!</v>
      </c>
    </row>
    <row r="11" spans="1:11" ht="76.5" x14ac:dyDescent="0.25">
      <c r="A11" s="222" t="s">
        <v>34</v>
      </c>
      <c r="B11" s="135" t="s">
        <v>101</v>
      </c>
      <c r="C11" s="205">
        <v>94275</v>
      </c>
      <c r="D11" s="227" t="s">
        <v>79</v>
      </c>
      <c r="E11" s="200" t="s">
        <v>0</v>
      </c>
      <c r="F11" s="202"/>
      <c r="G11" s="138">
        <f>F11*G4</f>
        <v>0</v>
      </c>
      <c r="H11" s="202">
        <v>15</v>
      </c>
      <c r="I11" s="139">
        <f>G11*H11</f>
        <v>0</v>
      </c>
      <c r="J11" s="212"/>
      <c r="K11" s="132" t="e">
        <f>I11/J27</f>
        <v>#DIV/0!</v>
      </c>
    </row>
    <row r="12" spans="1:11" ht="27" thickBot="1" x14ac:dyDescent="0.3">
      <c r="A12" s="222" t="s">
        <v>35</v>
      </c>
      <c r="B12" s="125" t="s">
        <v>100</v>
      </c>
      <c r="C12" s="200" t="s">
        <v>2</v>
      </c>
      <c r="D12" s="271" t="e">
        <f>LOOKUP(C12,#REF!,#REF!)</f>
        <v>#REF!</v>
      </c>
      <c r="E12" s="270" t="e">
        <f>LOOKUP(C12,#REF!,#REF!)</f>
        <v>#REF!</v>
      </c>
      <c r="F12" s="202"/>
      <c r="G12" s="138">
        <f>F12*G4</f>
        <v>0</v>
      </c>
      <c r="H12" s="202">
        <f>H11*0.3*0.11</f>
        <v>0.495</v>
      </c>
      <c r="I12" s="139">
        <f>G12*H12</f>
        <v>0</v>
      </c>
      <c r="J12" s="212"/>
      <c r="K12" s="132" t="e">
        <f>I12/J27</f>
        <v>#DIV/0!</v>
      </c>
    </row>
    <row r="13" spans="1:11" ht="15.75" thickBot="1" x14ac:dyDescent="0.3">
      <c r="A13" s="92"/>
      <c r="B13" s="285"/>
      <c r="C13" s="285"/>
      <c r="D13" s="286"/>
      <c r="E13" s="287"/>
      <c r="F13" s="274"/>
      <c r="G13" s="274"/>
      <c r="H13" s="58" t="s">
        <v>61</v>
      </c>
      <c r="I13" s="46"/>
      <c r="J13" s="279">
        <f>SUM(I10:I12)</f>
        <v>0</v>
      </c>
      <c r="K13" s="76" t="e">
        <f>J13/J27</f>
        <v>#DIV/0!</v>
      </c>
    </row>
    <row r="14" spans="1:11" x14ac:dyDescent="0.25">
      <c r="A14" s="282" t="s">
        <v>87</v>
      </c>
      <c r="B14" s="275"/>
      <c r="C14" s="280"/>
      <c r="D14" s="289" t="s">
        <v>115</v>
      </c>
      <c r="E14" s="280"/>
      <c r="F14" s="272"/>
      <c r="G14" s="272"/>
      <c r="H14" s="272"/>
      <c r="I14" s="276"/>
      <c r="J14" s="276"/>
      <c r="K14" s="87"/>
    </row>
    <row r="15" spans="1:11" ht="26.25" x14ac:dyDescent="0.25">
      <c r="A15" s="222" t="s">
        <v>37</v>
      </c>
      <c r="B15" s="135" t="s">
        <v>101</v>
      </c>
      <c r="C15" s="200">
        <v>72947</v>
      </c>
      <c r="D15" s="271" t="s">
        <v>69</v>
      </c>
      <c r="E15" s="200" t="s">
        <v>9</v>
      </c>
      <c r="F15" s="202"/>
      <c r="G15" s="138">
        <f>F15*G4</f>
        <v>0</v>
      </c>
      <c r="H15" s="202">
        <v>25.04</v>
      </c>
      <c r="I15" s="139">
        <f>G15*H15</f>
        <v>0</v>
      </c>
      <c r="J15" s="212"/>
      <c r="K15" s="132" t="e">
        <f>I15/J27</f>
        <v>#DIV/0!</v>
      </c>
    </row>
    <row r="16" spans="1:11" ht="26.25" x14ac:dyDescent="0.25">
      <c r="A16" s="222" t="s">
        <v>38</v>
      </c>
      <c r="B16" s="125" t="s">
        <v>100</v>
      </c>
      <c r="C16" s="200" t="s">
        <v>11</v>
      </c>
      <c r="D16" s="271" t="e">
        <f>LOOKUP(C16,#REF!,#REF!)</f>
        <v>#REF!</v>
      </c>
      <c r="E16" s="270" t="e">
        <f>LOOKUP(C16,#REF!,#REF!)</f>
        <v>#REF!</v>
      </c>
      <c r="F16" s="202"/>
      <c r="G16" s="138">
        <f>F16*G4</f>
        <v>0</v>
      </c>
      <c r="H16" s="202">
        <f>0.32+0.32</f>
        <v>0.64</v>
      </c>
      <c r="I16" s="139">
        <f t="shared" ref="I16:I25" si="0">G16*H16</f>
        <v>0</v>
      </c>
      <c r="J16" s="212"/>
      <c r="K16" s="132" t="e">
        <f>I16/J27</f>
        <v>#DIV/0!</v>
      </c>
    </row>
    <row r="17" spans="1:14" x14ac:dyDescent="0.25">
      <c r="A17" s="222" t="s">
        <v>39</v>
      </c>
      <c r="B17" s="125" t="s">
        <v>100</v>
      </c>
      <c r="C17" s="213" t="s">
        <v>19</v>
      </c>
      <c r="D17" s="271" t="e">
        <f>LOOKUP(C17,#REF!,#REF!)</f>
        <v>#REF!</v>
      </c>
      <c r="E17" s="270" t="e">
        <f>LOOKUP(C17,#REF!,#REF!)</f>
        <v>#REF!</v>
      </c>
      <c r="F17" s="202"/>
      <c r="G17" s="138">
        <f>F17*G4</f>
        <v>0</v>
      </c>
      <c r="H17" s="202">
        <f>3*3</f>
        <v>9</v>
      </c>
      <c r="I17" s="139">
        <f t="shared" si="0"/>
        <v>0</v>
      </c>
      <c r="J17" s="212"/>
      <c r="K17" s="132" t="e">
        <f>I17/J27</f>
        <v>#DIV/0!</v>
      </c>
    </row>
    <row r="18" spans="1:14" ht="26.25" x14ac:dyDescent="0.25">
      <c r="A18" s="222" t="s">
        <v>110</v>
      </c>
      <c r="B18" s="125" t="s">
        <v>100</v>
      </c>
      <c r="C18" s="213" t="s">
        <v>95</v>
      </c>
      <c r="D18" s="271" t="e">
        <f>LOOKUP(C18,#REF!,#REF!)</f>
        <v>#REF!</v>
      </c>
      <c r="E18" s="270" t="e">
        <f>LOOKUP(C18,#REF!,#REF!)</f>
        <v>#REF!</v>
      </c>
      <c r="F18" s="202"/>
      <c r="G18" s="138">
        <f>F18*G4</f>
        <v>0</v>
      </c>
      <c r="H18" s="202">
        <f>3*0.5</f>
        <v>1.5</v>
      </c>
      <c r="I18" s="139">
        <f>G18*H18</f>
        <v>0</v>
      </c>
      <c r="J18" s="212"/>
      <c r="K18" s="132" t="e">
        <f>I18/J27</f>
        <v>#DIV/0!</v>
      </c>
    </row>
    <row r="19" spans="1:14" s="6" customFormat="1" ht="26.25" x14ac:dyDescent="0.25">
      <c r="A19" s="222" t="s">
        <v>111</v>
      </c>
      <c r="B19" s="135" t="s">
        <v>101</v>
      </c>
      <c r="C19" s="213" t="s">
        <v>105</v>
      </c>
      <c r="D19" s="278" t="s">
        <v>57</v>
      </c>
      <c r="E19" s="218" t="s">
        <v>12</v>
      </c>
      <c r="F19" s="202"/>
      <c r="G19" s="138">
        <f>F19*G4</f>
        <v>0</v>
      </c>
      <c r="H19" s="202">
        <v>2</v>
      </c>
      <c r="I19" s="139">
        <f t="shared" si="0"/>
        <v>0</v>
      </c>
      <c r="J19" s="212"/>
      <c r="K19" s="132" t="e">
        <f>I19/$J$27</f>
        <v>#DIV/0!</v>
      </c>
      <c r="N19" s="6">
        <v>4</v>
      </c>
    </row>
    <row r="20" spans="1:14" s="6" customFormat="1" ht="30" customHeight="1" x14ac:dyDescent="0.25">
      <c r="A20" s="222" t="s">
        <v>112</v>
      </c>
      <c r="B20" s="125" t="s">
        <v>100</v>
      </c>
      <c r="C20" s="200" t="s">
        <v>10</v>
      </c>
      <c r="D20" s="271" t="s">
        <v>58</v>
      </c>
      <c r="E20" s="270" t="e">
        <f>LOOKUP(C20,#REF!,#REF!)</f>
        <v>#REF!</v>
      </c>
      <c r="F20" s="202"/>
      <c r="G20" s="138">
        <f>F20*G4</f>
        <v>0</v>
      </c>
      <c r="H20" s="202">
        <v>36.46</v>
      </c>
      <c r="I20" s="139">
        <f t="shared" si="0"/>
        <v>0</v>
      </c>
      <c r="J20" s="212"/>
      <c r="K20" s="132" t="e">
        <f t="shared" ref="K20:K25" si="1">I20/$J$27</f>
        <v>#DIV/0!</v>
      </c>
    </row>
    <row r="21" spans="1:14" s="6" customFormat="1" ht="30" customHeight="1" x14ac:dyDescent="0.25">
      <c r="A21" s="222" t="s">
        <v>113</v>
      </c>
      <c r="B21" s="125" t="s">
        <v>100</v>
      </c>
      <c r="C21" s="128" t="s">
        <v>96</v>
      </c>
      <c r="D21" s="201" t="e">
        <f>LOOKUP(C21,#REF!,#REF!)</f>
        <v>#REF!</v>
      </c>
      <c r="E21" s="200" t="e">
        <f>LOOKUP(C21,#REF!,#REF!)</f>
        <v>#REF!</v>
      </c>
      <c r="F21" s="202"/>
      <c r="G21" s="138">
        <f>F21*$G$4</f>
        <v>0</v>
      </c>
      <c r="H21" s="353">
        <f>1.13*N19</f>
        <v>4.5199999999999996</v>
      </c>
      <c r="I21" s="139">
        <f t="shared" si="0"/>
        <v>0</v>
      </c>
      <c r="J21" s="212"/>
      <c r="K21" s="132" t="e">
        <f t="shared" si="1"/>
        <v>#DIV/0!</v>
      </c>
    </row>
    <row r="22" spans="1:14" s="6" customFormat="1" ht="38.25" x14ac:dyDescent="0.25">
      <c r="A22" s="222" t="s">
        <v>114</v>
      </c>
      <c r="B22" s="125" t="s">
        <v>100</v>
      </c>
      <c r="C22" s="128" t="s">
        <v>97</v>
      </c>
      <c r="D22" s="201" t="e">
        <f>LOOKUP(C22,#REF!,#REF!)</f>
        <v>#REF!</v>
      </c>
      <c r="E22" s="200" t="e">
        <f>LOOKUP(C22,#REF!,#REF!)</f>
        <v>#REF!</v>
      </c>
      <c r="F22" s="202"/>
      <c r="G22" s="138">
        <f>F22*$G$4</f>
        <v>0</v>
      </c>
      <c r="H22" s="353">
        <f>1.13*N19</f>
        <v>4.5199999999999996</v>
      </c>
      <c r="I22" s="139">
        <f t="shared" si="0"/>
        <v>0</v>
      </c>
      <c r="J22" s="212"/>
      <c r="K22" s="132" t="e">
        <f t="shared" si="1"/>
        <v>#DIV/0!</v>
      </c>
    </row>
    <row r="23" spans="1:14" s="6" customFormat="1" ht="30" customHeight="1" x14ac:dyDescent="0.25">
      <c r="A23" s="222" t="s">
        <v>122</v>
      </c>
      <c r="B23" s="125" t="s">
        <v>100</v>
      </c>
      <c r="C23" s="128" t="s">
        <v>94</v>
      </c>
      <c r="D23" s="201" t="e">
        <f>LOOKUP(C23,#REF!,#REF!)</f>
        <v>#REF!</v>
      </c>
      <c r="E23" s="200" t="e">
        <f>LOOKUP(C23,#REF!,#REF!)</f>
        <v>#REF!</v>
      </c>
      <c r="F23" s="202"/>
      <c r="G23" s="138">
        <f>F23*$G$4</f>
        <v>0</v>
      </c>
      <c r="H23" s="353">
        <f>0.26*N19</f>
        <v>1.04</v>
      </c>
      <c r="I23" s="139">
        <f t="shared" si="0"/>
        <v>0</v>
      </c>
      <c r="J23" s="212"/>
      <c r="K23" s="132" t="e">
        <f t="shared" si="1"/>
        <v>#DIV/0!</v>
      </c>
    </row>
    <row r="24" spans="1:14" s="6" customFormat="1" ht="30" customHeight="1" x14ac:dyDescent="0.25">
      <c r="A24" s="222" t="s">
        <v>123</v>
      </c>
      <c r="B24" s="125" t="s">
        <v>100</v>
      </c>
      <c r="C24" s="128" t="s">
        <v>92</v>
      </c>
      <c r="D24" s="201" t="e">
        <f>LOOKUP(C24,#REF!,#REF!)</f>
        <v>#REF!</v>
      </c>
      <c r="E24" s="200" t="e">
        <f>LOOKUP(C24,#REF!,#REF!)</f>
        <v>#REF!</v>
      </c>
      <c r="F24" s="202"/>
      <c r="G24" s="138">
        <f>F24*$G$4</f>
        <v>0</v>
      </c>
      <c r="H24" s="353">
        <f>0.97*N19</f>
        <v>3.88</v>
      </c>
      <c r="I24" s="139">
        <f t="shared" si="0"/>
        <v>0</v>
      </c>
      <c r="J24" s="212"/>
      <c r="K24" s="132" t="e">
        <f t="shared" si="1"/>
        <v>#DIV/0!</v>
      </c>
    </row>
    <row r="25" spans="1:14" s="6" customFormat="1" ht="30" customHeight="1" thickBot="1" x14ac:dyDescent="0.3">
      <c r="A25" s="222" t="s">
        <v>124</v>
      </c>
      <c r="B25" s="125" t="s">
        <v>100</v>
      </c>
      <c r="C25" s="128" t="s">
        <v>93</v>
      </c>
      <c r="D25" s="201" t="e">
        <f>LOOKUP(C25,#REF!,#REF!)</f>
        <v>#REF!</v>
      </c>
      <c r="E25" s="200" t="e">
        <f>LOOKUP(C25,#REF!,#REF!)</f>
        <v>#REF!</v>
      </c>
      <c r="F25" s="202"/>
      <c r="G25" s="138">
        <f>F25*$G$4</f>
        <v>0</v>
      </c>
      <c r="H25" s="353">
        <f>0.97*N19</f>
        <v>3.88</v>
      </c>
      <c r="I25" s="139">
        <f t="shared" si="0"/>
        <v>0</v>
      </c>
      <c r="J25" s="212"/>
      <c r="K25" s="132" t="e">
        <f t="shared" si="1"/>
        <v>#DIV/0!</v>
      </c>
    </row>
    <row r="26" spans="1:14" s="6" customFormat="1" ht="15.75" customHeight="1" thickBot="1" x14ac:dyDescent="0.3">
      <c r="A26" s="467"/>
      <c r="B26" s="512"/>
      <c r="C26" s="512"/>
      <c r="D26" s="512"/>
      <c r="E26" s="513"/>
      <c r="F26" s="274"/>
      <c r="G26" s="274"/>
      <c r="H26" s="58" t="s">
        <v>62</v>
      </c>
      <c r="I26" s="46"/>
      <c r="J26" s="279">
        <f>SUM(I15:I25)</f>
        <v>0</v>
      </c>
      <c r="K26" s="76" t="e">
        <f>J26/J27</f>
        <v>#DIV/0!</v>
      </c>
    </row>
    <row r="27" spans="1:14" ht="15.75" thickBot="1" x14ac:dyDescent="0.3">
      <c r="A27" s="470" t="s">
        <v>127</v>
      </c>
      <c r="B27" s="471"/>
      <c r="C27" s="471"/>
      <c r="D27" s="471"/>
      <c r="E27" s="471"/>
      <c r="F27" s="471"/>
      <c r="G27" s="471"/>
      <c r="H27" s="471"/>
      <c r="I27" s="472"/>
      <c r="J27" s="93">
        <f>SUM(J5:J26)</f>
        <v>0</v>
      </c>
      <c r="K27" s="78" t="e">
        <f>K8+K13+K26</f>
        <v>#DIV/0!</v>
      </c>
      <c r="M27" s="297"/>
    </row>
    <row r="28" spans="1:14" x14ac:dyDescent="0.25">
      <c r="A28" s="259"/>
      <c r="B28" s="260"/>
      <c r="C28" s="259"/>
      <c r="D28" s="261"/>
      <c r="E28" s="259"/>
      <c r="F28" s="260"/>
      <c r="G28" s="260"/>
      <c r="H28" s="260"/>
      <c r="I28" s="262"/>
      <c r="J28" s="263"/>
      <c r="K28" s="264"/>
    </row>
    <row r="29" spans="1:14" x14ac:dyDescent="0.25">
      <c r="A29" s="514" t="s">
        <v>64</v>
      </c>
      <c r="B29" s="515"/>
      <c r="C29" s="515"/>
      <c r="D29" s="331"/>
      <c r="E29" s="361"/>
      <c r="F29" s="361"/>
      <c r="G29" s="361"/>
      <c r="H29" s="499" t="s">
        <v>167</v>
      </c>
      <c r="I29" s="499"/>
      <c r="J29" s="499"/>
      <c r="K29" s="499"/>
    </row>
    <row r="30" spans="1:14" x14ac:dyDescent="0.25">
      <c r="A30" s="329"/>
      <c r="B30" s="497" t="s">
        <v>102</v>
      </c>
      <c r="C30" s="497"/>
      <c r="D30" s="328"/>
      <c r="E30" s="328"/>
      <c r="F30" s="328"/>
      <c r="G30" s="328"/>
      <c r="H30" s="328"/>
      <c r="I30" s="328"/>
      <c r="J30" s="328"/>
      <c r="K30" s="328"/>
    </row>
    <row r="31" spans="1:14" x14ac:dyDescent="0.25">
      <c r="A31" s="329"/>
      <c r="B31" s="498" t="s">
        <v>103</v>
      </c>
      <c r="C31" s="498"/>
      <c r="D31" s="328"/>
      <c r="E31" s="328"/>
      <c r="F31" s="328"/>
      <c r="G31" s="328"/>
      <c r="H31" s="328"/>
      <c r="I31" s="328"/>
      <c r="J31" s="328"/>
      <c r="K31" s="328"/>
    </row>
    <row r="32" spans="1:14" x14ac:dyDescent="0.25">
      <c r="A32" s="330"/>
      <c r="B32" s="498" t="s">
        <v>104</v>
      </c>
      <c r="C32" s="498"/>
      <c r="D32" s="328"/>
      <c r="E32" s="328"/>
      <c r="F32" s="328"/>
      <c r="G32" s="328"/>
      <c r="H32" s="328"/>
      <c r="I32" s="328"/>
      <c r="J32" s="328"/>
      <c r="K32" s="328"/>
    </row>
    <row r="33" spans="1:11" x14ac:dyDescent="0.25">
      <c r="A33" s="182"/>
      <c r="B33" s="240"/>
      <c r="C33" s="182"/>
      <c r="D33" s="362"/>
      <c r="E33" s="360"/>
      <c r="F33" s="401"/>
      <c r="G33" s="401"/>
      <c r="H33" s="6"/>
      <c r="I33" s="243"/>
      <c r="J33" s="244"/>
      <c r="K33" s="241"/>
    </row>
    <row r="34" spans="1:11" x14ac:dyDescent="0.25">
      <c r="A34" s="182"/>
      <c r="B34" s="240"/>
      <c r="C34" s="182"/>
      <c r="D34" s="403"/>
      <c r="E34" s="403"/>
      <c r="F34" s="402"/>
      <c r="G34" s="533"/>
      <c r="H34" s="403"/>
      <c r="I34" s="403"/>
      <c r="J34" s="403"/>
      <c r="K34" s="403"/>
    </row>
    <row r="35" spans="1:11" x14ac:dyDescent="0.25">
      <c r="A35" s="182"/>
      <c r="B35" s="240"/>
      <c r="C35" s="182"/>
      <c r="D35" s="403"/>
      <c r="E35" s="403"/>
      <c r="F35" s="401"/>
      <c r="G35" s="536"/>
      <c r="H35" s="403"/>
      <c r="I35" s="403"/>
      <c r="J35" s="403"/>
      <c r="K35" s="403"/>
    </row>
    <row r="36" spans="1:11" x14ac:dyDescent="0.25">
      <c r="A36" s="182"/>
      <c r="B36" s="240"/>
      <c r="C36" s="182"/>
      <c r="D36" s="403"/>
      <c r="E36" s="403"/>
      <c r="F36" s="401"/>
      <c r="G36" s="401"/>
      <c r="H36" s="414"/>
      <c r="I36" s="414"/>
      <c r="J36" s="414"/>
      <c r="K36" s="414"/>
    </row>
    <row r="37" spans="1:11" ht="15" customHeight="1" x14ac:dyDescent="0.25">
      <c r="A37" s="182"/>
      <c r="B37" s="240"/>
      <c r="C37" s="182"/>
      <c r="D37" s="362"/>
      <c r="E37" s="360"/>
      <c r="F37" s="401"/>
      <c r="G37" s="401"/>
      <c r="H37" s="6"/>
      <c r="I37" s="243"/>
      <c r="J37" s="244"/>
      <c r="K37" s="241"/>
    </row>
    <row r="38" spans="1:11" ht="15" customHeight="1" x14ac:dyDescent="0.25">
      <c r="A38" s="182"/>
      <c r="B38" s="240"/>
      <c r="C38" s="182"/>
      <c r="D38" s="362"/>
      <c r="E38" s="360"/>
      <c r="F38" s="401"/>
      <c r="G38" s="401"/>
      <c r="H38" s="6"/>
      <c r="I38" s="243"/>
      <c r="J38" s="244"/>
      <c r="K38" s="241"/>
    </row>
    <row r="39" spans="1:11" x14ac:dyDescent="0.25">
      <c r="A39" s="182"/>
      <c r="B39" s="240"/>
      <c r="C39" s="182"/>
      <c r="D39" s="362"/>
      <c r="E39" s="360"/>
      <c r="F39" s="401"/>
      <c r="G39" s="401"/>
      <c r="H39" s="6"/>
      <c r="I39" s="243"/>
      <c r="J39" s="244"/>
      <c r="K39" s="241"/>
    </row>
    <row r="40" spans="1:11" x14ac:dyDescent="0.25">
      <c r="A40" s="182"/>
      <c r="B40" s="240"/>
      <c r="C40" s="182"/>
      <c r="D40" s="362"/>
      <c r="E40" s="360"/>
      <c r="F40" s="401"/>
      <c r="G40" s="401"/>
      <c r="H40" s="403"/>
      <c r="I40" s="403"/>
      <c r="J40" s="403"/>
      <c r="K40" s="403"/>
    </row>
    <row r="41" spans="1:11" x14ac:dyDescent="0.25">
      <c r="B41" s="240"/>
      <c r="C41" s="182"/>
      <c r="D41" s="362"/>
      <c r="E41" s="360"/>
      <c r="F41" s="401"/>
      <c r="G41" s="401"/>
      <c r="H41" s="403"/>
      <c r="I41" s="403"/>
      <c r="J41" s="403"/>
      <c r="K41" s="403"/>
    </row>
    <row r="42" spans="1:11" x14ac:dyDescent="0.25">
      <c r="D42" s="362"/>
      <c r="E42" s="360"/>
      <c r="F42" s="401"/>
      <c r="G42" s="401"/>
      <c r="H42" s="403"/>
      <c r="I42" s="403"/>
      <c r="J42" s="403"/>
      <c r="K42" s="403"/>
    </row>
  </sheetData>
  <mergeCells count="27">
    <mergeCell ref="H40:K40"/>
    <mergeCell ref="H41:K41"/>
    <mergeCell ref="H42:K42"/>
    <mergeCell ref="D34:E34"/>
    <mergeCell ref="H34:K34"/>
    <mergeCell ref="D35:E35"/>
    <mergeCell ref="H35:K35"/>
    <mergeCell ref="D36:E36"/>
    <mergeCell ref="H36:K36"/>
    <mergeCell ref="A1:K1"/>
    <mergeCell ref="A2:A4"/>
    <mergeCell ref="B2:B4"/>
    <mergeCell ref="C2:C4"/>
    <mergeCell ref="D2:D4"/>
    <mergeCell ref="E2:E4"/>
    <mergeCell ref="F2:F4"/>
    <mergeCell ref="H2:H4"/>
    <mergeCell ref="I2:I4"/>
    <mergeCell ref="J2:J4"/>
    <mergeCell ref="K2:K4"/>
    <mergeCell ref="B32:C32"/>
    <mergeCell ref="A26:E26"/>
    <mergeCell ref="A27:I27"/>
    <mergeCell ref="A29:C29"/>
    <mergeCell ref="B30:C30"/>
    <mergeCell ref="B31:C31"/>
    <mergeCell ref="H29:K29"/>
  </mergeCells>
  <printOptions horizontalCentered="1"/>
  <pageMargins left="0.31496062992125984" right="0.35433070866141736" top="1.1811023622047245" bottom="1.1811023622047245" header="0.31496062992125984" footer="0.31496062992125984"/>
  <pageSetup paperSize="9" scale="68" orientation="portrait" horizontalDpi="4294967293" r:id="rId1"/>
  <headerFooter>
    <oddHeader>&amp;L&amp;G&amp;C&amp;"-,Negrito"&amp;18PREFEITURA MUNICIPAL DE POTIM&amp;"-,Regular"&amp;11
&amp;"-,Negrito itálico"&amp;16“TERRA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
  <sheetViews>
    <sheetView view="pageBreakPreview" zoomScaleNormal="84" zoomScaleSheetLayoutView="100" workbookViewId="0">
      <selection sqref="A1:K1"/>
    </sheetView>
  </sheetViews>
  <sheetFormatPr defaultRowHeight="15" x14ac:dyDescent="0.25"/>
  <cols>
    <col min="1" max="1" width="4.85546875" style="14" customWidth="1"/>
    <col min="2" max="2" width="11.7109375" style="59" customWidth="1"/>
    <col min="3" max="3" width="9.85546875" style="16" customWidth="1"/>
    <col min="4" max="4" width="42.5703125" style="2" customWidth="1"/>
    <col min="5" max="5" width="7.5703125" style="16" customWidth="1"/>
    <col min="6" max="6" width="9.140625" style="59"/>
    <col min="7" max="7" width="9.140625" style="94"/>
    <col min="8" max="8" width="10.85546875" style="59" customWidth="1"/>
    <col min="9" max="9" width="12.5703125" style="48" customWidth="1"/>
    <col min="10" max="10" width="13.42578125" style="42" customWidth="1"/>
    <col min="11" max="11" width="9.140625" style="8"/>
  </cols>
  <sheetData>
    <row r="1" spans="1:11" ht="36" customHeight="1" thickBot="1" x14ac:dyDescent="0.3">
      <c r="A1" s="482" t="s">
        <v>150</v>
      </c>
      <c r="B1" s="483"/>
      <c r="C1" s="483"/>
      <c r="D1" s="483"/>
      <c r="E1" s="483"/>
      <c r="F1" s="483"/>
      <c r="G1" s="483"/>
      <c r="H1" s="483"/>
      <c r="I1" s="483"/>
      <c r="J1" s="483"/>
      <c r="K1" s="484"/>
    </row>
    <row r="2" spans="1:11" ht="43.5" customHeight="1" x14ac:dyDescent="0.25">
      <c r="A2" s="494" t="s">
        <v>20</v>
      </c>
      <c r="B2" s="473" t="s">
        <v>21</v>
      </c>
      <c r="C2" s="473" t="s">
        <v>6</v>
      </c>
      <c r="D2" s="476" t="s">
        <v>27</v>
      </c>
      <c r="E2" s="479" t="s">
        <v>22</v>
      </c>
      <c r="F2" s="479" t="s">
        <v>65</v>
      </c>
      <c r="G2" s="115" t="s">
        <v>74</v>
      </c>
      <c r="H2" s="479" t="s">
        <v>23</v>
      </c>
      <c r="I2" s="485" t="s">
        <v>24</v>
      </c>
      <c r="J2" s="488" t="s">
        <v>40</v>
      </c>
      <c r="K2" s="491" t="s">
        <v>25</v>
      </c>
    </row>
    <row r="3" spans="1:11" ht="29.25" customHeight="1" x14ac:dyDescent="0.25">
      <c r="A3" s="495"/>
      <c r="B3" s="474"/>
      <c r="C3" s="474"/>
      <c r="D3" s="477"/>
      <c r="E3" s="480"/>
      <c r="F3" s="480"/>
      <c r="G3" s="116">
        <v>20.09</v>
      </c>
      <c r="H3" s="480"/>
      <c r="I3" s="486"/>
      <c r="J3" s="489"/>
      <c r="K3" s="492"/>
    </row>
    <row r="4" spans="1:11" ht="9" customHeight="1" x14ac:dyDescent="0.25">
      <c r="A4" s="496"/>
      <c r="B4" s="475"/>
      <c r="C4" s="475"/>
      <c r="D4" s="478"/>
      <c r="E4" s="481"/>
      <c r="F4" s="481"/>
      <c r="G4" s="99">
        <f>(G3/100)+1</f>
        <v>1.2009000000000001</v>
      </c>
      <c r="H4" s="481"/>
      <c r="I4" s="487"/>
      <c r="J4" s="490"/>
      <c r="K4" s="493"/>
    </row>
    <row r="5" spans="1:11" x14ac:dyDescent="0.25">
      <c r="A5" s="79" t="s">
        <v>84</v>
      </c>
      <c r="B5" s="80"/>
      <c r="C5" s="81"/>
      <c r="D5" s="82" t="s">
        <v>13</v>
      </c>
      <c r="E5" s="83"/>
      <c r="F5" s="83"/>
      <c r="G5" s="83"/>
      <c r="H5" s="57"/>
      <c r="I5" s="49"/>
      <c r="J5" s="84"/>
      <c r="K5" s="85"/>
    </row>
    <row r="6" spans="1:11" x14ac:dyDescent="0.25">
      <c r="A6" s="34" t="s">
        <v>85</v>
      </c>
      <c r="B6" s="86"/>
      <c r="C6" s="26"/>
      <c r="D6" s="91" t="s">
        <v>78</v>
      </c>
      <c r="E6" s="35"/>
      <c r="F6" s="23"/>
      <c r="G6" s="23"/>
      <c r="H6" s="23"/>
      <c r="I6" s="47"/>
      <c r="J6" s="47"/>
      <c r="K6" s="87"/>
    </row>
    <row r="7" spans="1:11" ht="27" thickBot="1" x14ac:dyDescent="0.3">
      <c r="A7" s="36" t="s">
        <v>31</v>
      </c>
      <c r="B7" s="70" t="s">
        <v>100</v>
      </c>
      <c r="C7" s="22" t="s">
        <v>1</v>
      </c>
      <c r="D7" s="21" t="e">
        <f>LOOKUP(C7,#REF!,#REF!)</f>
        <v>#REF!</v>
      </c>
      <c r="E7" s="22" t="e">
        <f>LOOKUP(C7,#REF!,#REF!)</f>
        <v>#REF!</v>
      </c>
      <c r="F7" s="23"/>
      <c r="G7" s="28">
        <f>F7*G4</f>
        <v>0</v>
      </c>
      <c r="H7" s="23">
        <v>549.82000000000005</v>
      </c>
      <c r="I7" s="45">
        <f>G7*H7</f>
        <v>0</v>
      </c>
      <c r="J7" s="47"/>
      <c r="K7" s="71" t="e">
        <f>I7/J27</f>
        <v>#DIV/0!</v>
      </c>
    </row>
    <row r="8" spans="1:11" ht="15.75" thickBot="1" x14ac:dyDescent="0.3">
      <c r="A8" s="92"/>
      <c r="B8" s="65"/>
      <c r="C8" s="65"/>
      <c r="D8" s="37"/>
      <c r="E8" s="66"/>
      <c r="F8" s="74"/>
      <c r="G8" s="74"/>
      <c r="H8" s="58" t="s">
        <v>73</v>
      </c>
      <c r="I8" s="46"/>
      <c r="J8" s="75">
        <f>SUM(I7:I7)</f>
        <v>0</v>
      </c>
      <c r="K8" s="76" t="e">
        <f>J8/J27</f>
        <v>#DIV/0!</v>
      </c>
    </row>
    <row r="9" spans="1:11" x14ac:dyDescent="0.25">
      <c r="A9" s="34" t="s">
        <v>86</v>
      </c>
      <c r="B9" s="86"/>
      <c r="C9" s="26"/>
      <c r="D9" s="91" t="s">
        <v>15</v>
      </c>
      <c r="E9" s="26"/>
      <c r="F9" s="23"/>
      <c r="G9" s="23"/>
      <c r="H9" s="23"/>
      <c r="I9" s="47"/>
      <c r="J9" s="47"/>
      <c r="K9" s="87"/>
    </row>
    <row r="10" spans="1:11" ht="39" x14ac:dyDescent="0.25">
      <c r="A10" s="36" t="s">
        <v>33</v>
      </c>
      <c r="B10" s="70" t="s">
        <v>100</v>
      </c>
      <c r="C10" s="22" t="s">
        <v>3</v>
      </c>
      <c r="D10" s="21" t="e">
        <f>LOOKUP(C10,#REF!,#REF!)</f>
        <v>#REF!</v>
      </c>
      <c r="E10" s="22" t="e">
        <f>LOOKUP(C10,#REF!,#REF!)</f>
        <v>#REF!</v>
      </c>
      <c r="F10" s="23"/>
      <c r="G10" s="38">
        <f>F10*G4</f>
        <v>0</v>
      </c>
      <c r="H10" s="23">
        <v>549.82000000000005</v>
      </c>
      <c r="I10" s="45">
        <f>G10*H10</f>
        <v>0</v>
      </c>
      <c r="J10" s="47"/>
      <c r="K10" s="71" t="e">
        <f>I10/J27</f>
        <v>#DIV/0!</v>
      </c>
    </row>
    <row r="11" spans="1:11" ht="77.25" x14ac:dyDescent="0.25">
      <c r="A11" s="36" t="s">
        <v>34</v>
      </c>
      <c r="B11" s="73" t="s">
        <v>101</v>
      </c>
      <c r="C11" s="24">
        <v>94275</v>
      </c>
      <c r="D11" s="33" t="s">
        <v>80</v>
      </c>
      <c r="E11" s="22" t="s">
        <v>0</v>
      </c>
      <c r="F11" s="23"/>
      <c r="G11" s="38">
        <f>F11*G4</f>
        <v>0</v>
      </c>
      <c r="H11" s="23">
        <v>25</v>
      </c>
      <c r="I11" s="45">
        <f>G11*H11</f>
        <v>0</v>
      </c>
      <c r="J11" s="47"/>
      <c r="K11" s="71" t="e">
        <f>I11/J27</f>
        <v>#DIV/0!</v>
      </c>
    </row>
    <row r="12" spans="1:11" ht="27" thickBot="1" x14ac:dyDescent="0.3">
      <c r="A12" s="36" t="s">
        <v>35</v>
      </c>
      <c r="B12" s="70" t="s">
        <v>100</v>
      </c>
      <c r="C12" s="22" t="s">
        <v>2</v>
      </c>
      <c r="D12" s="21" t="e">
        <f>LOOKUP(C12,#REF!,#REF!)</f>
        <v>#REF!</v>
      </c>
      <c r="E12" s="22" t="e">
        <f>LOOKUP(C12,#REF!,#REF!)</f>
        <v>#REF!</v>
      </c>
      <c r="F12" s="23"/>
      <c r="G12" s="38">
        <f>F12*G4</f>
        <v>0</v>
      </c>
      <c r="H12" s="23">
        <f>H11*0.3*0.11</f>
        <v>0.82499999999999996</v>
      </c>
      <c r="I12" s="45">
        <f>G12*H12</f>
        <v>0</v>
      </c>
      <c r="J12" s="47"/>
      <c r="K12" s="71" t="e">
        <f>I12/J27</f>
        <v>#DIV/0!</v>
      </c>
    </row>
    <row r="13" spans="1:11" ht="15.75" thickBot="1" x14ac:dyDescent="0.3">
      <c r="A13" s="92"/>
      <c r="B13" s="65"/>
      <c r="C13" s="65"/>
      <c r="D13" s="37"/>
      <c r="E13" s="66"/>
      <c r="F13" s="74"/>
      <c r="G13" s="74"/>
      <c r="H13" s="58" t="s">
        <v>61</v>
      </c>
      <c r="I13" s="46"/>
      <c r="J13" s="75">
        <f>SUM(I10:I12)</f>
        <v>0</v>
      </c>
      <c r="K13" s="76" t="e">
        <f>J13/J27</f>
        <v>#DIV/0!</v>
      </c>
    </row>
    <row r="14" spans="1:11" x14ac:dyDescent="0.25">
      <c r="A14" s="34" t="s">
        <v>87</v>
      </c>
      <c r="B14" s="86"/>
      <c r="C14" s="26"/>
      <c r="D14" s="39" t="s">
        <v>115</v>
      </c>
      <c r="E14" s="26"/>
      <c r="F14" s="23"/>
      <c r="G14" s="23"/>
      <c r="H14" s="23"/>
      <c r="I14" s="47"/>
      <c r="J14" s="47"/>
      <c r="K14" s="87"/>
    </row>
    <row r="15" spans="1:11" ht="26.25" x14ac:dyDescent="0.25">
      <c r="A15" s="36" t="s">
        <v>37</v>
      </c>
      <c r="B15" s="73" t="s">
        <v>101</v>
      </c>
      <c r="C15" s="22">
        <v>72947</v>
      </c>
      <c r="D15" s="21" t="s">
        <v>69</v>
      </c>
      <c r="E15" s="22" t="s">
        <v>9</v>
      </c>
      <c r="F15" s="23"/>
      <c r="G15" s="28">
        <f>F15*G4</f>
        <v>0</v>
      </c>
      <c r="H15" s="23">
        <v>25.04</v>
      </c>
      <c r="I15" s="394">
        <f>G15*H15</f>
        <v>0</v>
      </c>
      <c r="J15" s="47"/>
      <c r="K15" s="71" t="e">
        <f>I15/J27</f>
        <v>#DIV/0!</v>
      </c>
    </row>
    <row r="16" spans="1:11" ht="26.25" x14ac:dyDescent="0.25">
      <c r="A16" s="36" t="s">
        <v>38</v>
      </c>
      <c r="B16" s="70" t="s">
        <v>100</v>
      </c>
      <c r="C16" s="22" t="s">
        <v>11</v>
      </c>
      <c r="D16" s="21" t="e">
        <f>LOOKUP(C16,#REF!,#REF!)</f>
        <v>#REF!</v>
      </c>
      <c r="E16" s="22" t="e">
        <f>LOOKUP(C16,#REF!,#REF!)</f>
        <v>#REF!</v>
      </c>
      <c r="F16" s="23"/>
      <c r="G16" s="28">
        <f>F16*G4</f>
        <v>0</v>
      </c>
      <c r="H16" s="23">
        <f>0.32*2</f>
        <v>0.64</v>
      </c>
      <c r="I16" s="394">
        <f t="shared" ref="I16:I25" si="0">G16*H16</f>
        <v>0</v>
      </c>
      <c r="J16" s="47"/>
      <c r="K16" s="71" t="e">
        <f>I16/J27</f>
        <v>#DIV/0!</v>
      </c>
    </row>
    <row r="17" spans="1:14" x14ac:dyDescent="0.25">
      <c r="A17" s="36" t="s">
        <v>39</v>
      </c>
      <c r="B17" s="70" t="s">
        <v>100</v>
      </c>
      <c r="C17" s="30" t="s">
        <v>19</v>
      </c>
      <c r="D17" s="21" t="e">
        <f>LOOKUP(C17,#REF!,#REF!)</f>
        <v>#REF!</v>
      </c>
      <c r="E17" s="22" t="e">
        <f>LOOKUP(C17,#REF!,#REF!)</f>
        <v>#REF!</v>
      </c>
      <c r="F17" s="23"/>
      <c r="G17" s="28">
        <f>F17*G4</f>
        <v>0</v>
      </c>
      <c r="H17" s="23">
        <f>3*3</f>
        <v>9</v>
      </c>
      <c r="I17" s="394">
        <f t="shared" si="0"/>
        <v>0</v>
      </c>
      <c r="J17" s="47"/>
      <c r="K17" s="71" t="e">
        <f>I17/J27</f>
        <v>#DIV/0!</v>
      </c>
    </row>
    <row r="18" spans="1:14" ht="26.25" x14ac:dyDescent="0.25">
      <c r="A18" s="36" t="s">
        <v>110</v>
      </c>
      <c r="B18" s="70"/>
      <c r="C18" s="30" t="s">
        <v>95</v>
      </c>
      <c r="D18" s="21" t="e">
        <f>LOOKUP(C18,#REF!,#REF!)</f>
        <v>#REF!</v>
      </c>
      <c r="E18" s="22" t="e">
        <f>LOOKUP(C18,#REF!,#REF!)</f>
        <v>#REF!</v>
      </c>
      <c r="F18" s="23"/>
      <c r="G18" s="28">
        <f>F18*G4</f>
        <v>0</v>
      </c>
      <c r="H18" s="23">
        <f>3*0.5</f>
        <v>1.5</v>
      </c>
      <c r="I18" s="394">
        <f>G18*H18</f>
        <v>0</v>
      </c>
      <c r="J18" s="47"/>
      <c r="K18" s="71" t="e">
        <f>I18/J27</f>
        <v>#DIV/0!</v>
      </c>
    </row>
    <row r="19" spans="1:14" s="5" customFormat="1" ht="26.25" x14ac:dyDescent="0.25">
      <c r="A19" s="36" t="s">
        <v>111</v>
      </c>
      <c r="B19" s="73" t="s">
        <v>101</v>
      </c>
      <c r="C19" s="30" t="s">
        <v>105</v>
      </c>
      <c r="D19" s="29" t="s">
        <v>57</v>
      </c>
      <c r="E19" s="32" t="s">
        <v>12</v>
      </c>
      <c r="F19" s="23"/>
      <c r="G19" s="28">
        <f>F19*G4</f>
        <v>0</v>
      </c>
      <c r="H19" s="23">
        <v>2</v>
      </c>
      <c r="I19" s="394">
        <f t="shared" si="0"/>
        <v>0</v>
      </c>
      <c r="J19" s="47"/>
      <c r="K19" s="71" t="e">
        <f>I19/J27</f>
        <v>#DIV/0!</v>
      </c>
      <c r="N19" s="5">
        <v>4</v>
      </c>
    </row>
    <row r="20" spans="1:14" s="6" customFormat="1" ht="30" customHeight="1" x14ac:dyDescent="0.25">
      <c r="A20" s="36" t="s">
        <v>112</v>
      </c>
      <c r="B20" s="70" t="s">
        <v>100</v>
      </c>
      <c r="C20" s="22" t="s">
        <v>10</v>
      </c>
      <c r="D20" s="21" t="s">
        <v>58</v>
      </c>
      <c r="E20" s="22" t="e">
        <f>LOOKUP(C20,#REF!,#REF!)</f>
        <v>#REF!</v>
      </c>
      <c r="F20" s="23"/>
      <c r="G20" s="28">
        <f>F20*G4</f>
        <v>0</v>
      </c>
      <c r="H20" s="23">
        <v>32.799999999999997</v>
      </c>
      <c r="I20" s="394">
        <f t="shared" si="0"/>
        <v>0</v>
      </c>
      <c r="J20" s="47"/>
      <c r="K20" s="71" t="e">
        <f>I20/J27</f>
        <v>#DIV/0!</v>
      </c>
    </row>
    <row r="21" spans="1:14" s="6" customFormat="1" ht="30" customHeight="1" x14ac:dyDescent="0.25">
      <c r="A21" s="36" t="s">
        <v>113</v>
      </c>
      <c r="B21" s="125" t="s">
        <v>100</v>
      </c>
      <c r="C21" s="128" t="s">
        <v>96</v>
      </c>
      <c r="D21" s="201" t="e">
        <f>LOOKUP(C21,#REF!,#REF!)</f>
        <v>#REF!</v>
      </c>
      <c r="E21" s="200" t="e">
        <f>LOOKUP(C21,#REF!,#REF!)</f>
        <v>#REF!</v>
      </c>
      <c r="F21" s="202"/>
      <c r="G21" s="138">
        <f>F21*$G$4</f>
        <v>0</v>
      </c>
      <c r="H21" s="353">
        <f>1.14*N19</f>
        <v>4.5599999999999996</v>
      </c>
      <c r="I21" s="395">
        <f t="shared" si="0"/>
        <v>0</v>
      </c>
      <c r="J21" s="212"/>
      <c r="K21" s="132" t="e">
        <f>I21/$J$27</f>
        <v>#DIV/0!</v>
      </c>
    </row>
    <row r="22" spans="1:14" s="6" customFormat="1" ht="38.25" x14ac:dyDescent="0.25">
      <c r="A22" s="36" t="s">
        <v>114</v>
      </c>
      <c r="B22" s="125" t="s">
        <v>100</v>
      </c>
      <c r="C22" s="128" t="s">
        <v>97</v>
      </c>
      <c r="D22" s="201" t="e">
        <f>LOOKUP(C22,#REF!,#REF!)</f>
        <v>#REF!</v>
      </c>
      <c r="E22" s="200" t="e">
        <f>LOOKUP(C22,#REF!,#REF!)</f>
        <v>#REF!</v>
      </c>
      <c r="F22" s="202"/>
      <c r="G22" s="138">
        <f>F22*$G$4</f>
        <v>0</v>
      </c>
      <c r="H22" s="353">
        <f>1.14*N19</f>
        <v>4.5599999999999996</v>
      </c>
      <c r="I22" s="395">
        <f t="shared" si="0"/>
        <v>0</v>
      </c>
      <c r="J22" s="212"/>
      <c r="K22" s="132" t="e">
        <f>I22/$J$27</f>
        <v>#DIV/0!</v>
      </c>
    </row>
    <row r="23" spans="1:14" s="6" customFormat="1" ht="30" customHeight="1" x14ac:dyDescent="0.25">
      <c r="A23" s="36" t="s">
        <v>122</v>
      </c>
      <c r="B23" s="125" t="s">
        <v>100</v>
      </c>
      <c r="C23" s="128" t="s">
        <v>94</v>
      </c>
      <c r="D23" s="201" t="e">
        <f>LOOKUP(C23,#REF!,#REF!)</f>
        <v>#REF!</v>
      </c>
      <c r="E23" s="200" t="e">
        <f>LOOKUP(C23,#REF!,#REF!)</f>
        <v>#REF!</v>
      </c>
      <c r="F23" s="202"/>
      <c r="G23" s="138">
        <f>F23*$G$4</f>
        <v>0</v>
      </c>
      <c r="H23" s="353">
        <f>0.26*N19</f>
        <v>1.04</v>
      </c>
      <c r="I23" s="395">
        <f t="shared" si="0"/>
        <v>0</v>
      </c>
      <c r="J23" s="212"/>
      <c r="K23" s="132" t="e">
        <f>I23/$J$27</f>
        <v>#DIV/0!</v>
      </c>
    </row>
    <row r="24" spans="1:14" s="6" customFormat="1" ht="30" customHeight="1" x14ac:dyDescent="0.25">
      <c r="A24" s="36" t="s">
        <v>123</v>
      </c>
      <c r="B24" s="125" t="s">
        <v>100</v>
      </c>
      <c r="C24" s="128" t="s">
        <v>92</v>
      </c>
      <c r="D24" s="201" t="e">
        <f>LOOKUP(C24,#REF!,#REF!)</f>
        <v>#REF!</v>
      </c>
      <c r="E24" s="200" t="e">
        <f>LOOKUP(C24,#REF!,#REF!)</f>
        <v>#REF!</v>
      </c>
      <c r="F24" s="202"/>
      <c r="G24" s="138">
        <f>F24*$G$4</f>
        <v>0</v>
      </c>
      <c r="H24" s="353">
        <f>0.97*N19</f>
        <v>3.88</v>
      </c>
      <c r="I24" s="395">
        <f t="shared" si="0"/>
        <v>0</v>
      </c>
      <c r="J24" s="212"/>
      <c r="K24" s="132" t="e">
        <f>I24/$J$27</f>
        <v>#DIV/0!</v>
      </c>
    </row>
    <row r="25" spans="1:14" s="6" customFormat="1" ht="30" customHeight="1" thickBot="1" x14ac:dyDescent="0.3">
      <c r="A25" s="36" t="s">
        <v>124</v>
      </c>
      <c r="B25" s="125" t="s">
        <v>100</v>
      </c>
      <c r="C25" s="128" t="s">
        <v>93</v>
      </c>
      <c r="D25" s="201" t="e">
        <f>LOOKUP(C25,#REF!,#REF!)</f>
        <v>#REF!</v>
      </c>
      <c r="E25" s="200" t="e">
        <f>LOOKUP(C25,#REF!,#REF!)</f>
        <v>#REF!</v>
      </c>
      <c r="F25" s="202"/>
      <c r="G25" s="138">
        <f>F25*$G$4</f>
        <v>0</v>
      </c>
      <c r="H25" s="353">
        <f>0.97*N19</f>
        <v>3.88</v>
      </c>
      <c r="I25" s="395">
        <f t="shared" si="0"/>
        <v>0</v>
      </c>
      <c r="J25" s="212"/>
      <c r="K25" s="132" t="e">
        <f>I25/$J$27</f>
        <v>#DIV/0!</v>
      </c>
    </row>
    <row r="26" spans="1:14" s="6" customFormat="1" ht="15.75" customHeight="1" thickBot="1" x14ac:dyDescent="0.3">
      <c r="A26" s="467"/>
      <c r="B26" s="468"/>
      <c r="C26" s="468"/>
      <c r="D26" s="468"/>
      <c r="E26" s="469"/>
      <c r="F26" s="74"/>
      <c r="G26" s="74"/>
      <c r="H26" s="58" t="s">
        <v>62</v>
      </c>
      <c r="I26" s="46"/>
      <c r="J26" s="75">
        <f>SUM(I15:I25)</f>
        <v>0</v>
      </c>
      <c r="K26" s="76" t="e">
        <f>J26/J27</f>
        <v>#DIV/0!</v>
      </c>
    </row>
    <row r="27" spans="1:14" s="158" customFormat="1" ht="15.75" thickBot="1" x14ac:dyDescent="0.3">
      <c r="A27" s="504" t="s">
        <v>127</v>
      </c>
      <c r="B27" s="505"/>
      <c r="C27" s="505"/>
      <c r="D27" s="505"/>
      <c r="E27" s="505"/>
      <c r="F27" s="505"/>
      <c r="G27" s="505"/>
      <c r="H27" s="505"/>
      <c r="I27" s="506"/>
      <c r="J27" s="188">
        <f>SUM(J5:J26)</f>
        <v>0</v>
      </c>
      <c r="K27" s="40" t="e">
        <f>K8+K13+K26</f>
        <v>#DIV/0!</v>
      </c>
      <c r="M27" s="159"/>
    </row>
    <row r="28" spans="1:14" x14ac:dyDescent="0.25">
      <c r="A28" s="10"/>
      <c r="B28" s="117" t="s">
        <v>140</v>
      </c>
      <c r="C28" s="10"/>
      <c r="D28" s="11"/>
      <c r="E28" s="10"/>
      <c r="F28" s="117"/>
      <c r="G28" s="117"/>
      <c r="H28" s="117"/>
      <c r="I28" s="44"/>
      <c r="J28" s="41"/>
      <c r="K28" s="157"/>
    </row>
    <row r="29" spans="1:14" x14ac:dyDescent="0.25">
      <c r="B29" s="497" t="s">
        <v>102</v>
      </c>
      <c r="C29" s="497"/>
      <c r="H29" s="499" t="s">
        <v>167</v>
      </c>
      <c r="I29" s="499"/>
      <c r="J29" s="499"/>
      <c r="K29" s="499"/>
    </row>
    <row r="30" spans="1:14" x14ac:dyDescent="0.25">
      <c r="B30" s="498" t="s">
        <v>103</v>
      </c>
      <c r="C30" s="498"/>
    </row>
    <row r="31" spans="1:14" x14ac:dyDescent="0.25">
      <c r="B31" s="498" t="s">
        <v>104</v>
      </c>
      <c r="C31" s="498"/>
      <c r="D31" s="378"/>
      <c r="E31" s="399"/>
      <c r="F31" s="372"/>
      <c r="G31" s="372"/>
      <c r="H31" s="372"/>
      <c r="I31" s="537"/>
      <c r="J31" s="538"/>
      <c r="K31" s="539"/>
    </row>
    <row r="32" spans="1:14" x14ac:dyDescent="0.25">
      <c r="D32" s="378"/>
      <c r="E32" s="399"/>
      <c r="F32" s="372"/>
      <c r="G32" s="372"/>
      <c r="H32" s="372"/>
      <c r="I32" s="537"/>
      <c r="J32" s="540"/>
      <c r="K32" s="539"/>
    </row>
    <row r="33" spans="4:11" x14ac:dyDescent="0.25">
      <c r="D33" s="403"/>
      <c r="E33" s="403"/>
      <c r="F33" s="402"/>
      <c r="G33" s="533"/>
      <c r="H33" s="403"/>
      <c r="I33" s="403"/>
      <c r="J33" s="403"/>
      <c r="K33" s="403"/>
    </row>
    <row r="34" spans="4:11" x14ac:dyDescent="0.25">
      <c r="D34" s="403"/>
      <c r="E34" s="403"/>
      <c r="F34" s="401"/>
      <c r="G34" s="536"/>
      <c r="H34" s="403"/>
      <c r="I34" s="403"/>
      <c r="J34" s="403"/>
      <c r="K34" s="403"/>
    </row>
    <row r="35" spans="4:11" x14ac:dyDescent="0.25">
      <c r="D35" s="403"/>
      <c r="E35" s="403"/>
      <c r="F35" s="401"/>
      <c r="G35" s="401"/>
      <c r="H35" s="414"/>
      <c r="I35" s="414"/>
      <c r="J35" s="414"/>
      <c r="K35" s="414"/>
    </row>
    <row r="36" spans="4:11" x14ac:dyDescent="0.25">
      <c r="D36" s="362"/>
      <c r="E36" s="360"/>
      <c r="F36" s="401"/>
      <c r="G36" s="401"/>
      <c r="H36" s="6"/>
      <c r="I36" s="243"/>
      <c r="J36" s="244"/>
      <c r="K36" s="241"/>
    </row>
    <row r="37" spans="4:11" x14ac:dyDescent="0.25">
      <c r="D37" s="362"/>
      <c r="E37" s="360"/>
      <c r="F37" s="401"/>
      <c r="G37" s="401"/>
      <c r="H37" s="6"/>
      <c r="I37" s="243"/>
      <c r="J37" s="244"/>
      <c r="K37" s="241"/>
    </row>
    <row r="38" spans="4:11" x14ac:dyDescent="0.25">
      <c r="D38" s="362"/>
      <c r="E38" s="360"/>
      <c r="F38" s="401"/>
      <c r="G38" s="401"/>
      <c r="H38" s="6"/>
      <c r="I38" s="243"/>
      <c r="J38" s="244"/>
      <c r="K38" s="241"/>
    </row>
    <row r="39" spans="4:11" x14ac:dyDescent="0.25">
      <c r="D39" s="362"/>
      <c r="E39" s="360"/>
      <c r="F39" s="401"/>
      <c r="G39" s="401"/>
      <c r="H39" s="403"/>
      <c r="I39" s="403"/>
      <c r="J39" s="403"/>
      <c r="K39" s="403"/>
    </row>
    <row r="40" spans="4:11" x14ac:dyDescent="0.25">
      <c r="D40" s="362"/>
      <c r="E40" s="360"/>
      <c r="F40" s="401"/>
      <c r="G40" s="401"/>
      <c r="H40" s="403"/>
      <c r="I40" s="403"/>
      <c r="J40" s="403"/>
      <c r="K40" s="403"/>
    </row>
    <row r="41" spans="4:11" x14ac:dyDescent="0.25">
      <c r="D41" s="362"/>
      <c r="E41" s="360"/>
      <c r="F41" s="401"/>
      <c r="G41" s="401"/>
      <c r="H41" s="403"/>
      <c r="I41" s="403"/>
      <c r="J41" s="403"/>
      <c r="K41" s="403"/>
    </row>
  </sheetData>
  <mergeCells count="26">
    <mergeCell ref="H39:K39"/>
    <mergeCell ref="H40:K40"/>
    <mergeCell ref="H41:K41"/>
    <mergeCell ref="D33:E33"/>
    <mergeCell ref="H33:K33"/>
    <mergeCell ref="D34:E34"/>
    <mergeCell ref="H34:K34"/>
    <mergeCell ref="D35:E35"/>
    <mergeCell ref="H35:K35"/>
    <mergeCell ref="H29:K29"/>
    <mergeCell ref="A1:K1"/>
    <mergeCell ref="A2:A4"/>
    <mergeCell ref="B2:B4"/>
    <mergeCell ref="C2:C4"/>
    <mergeCell ref="D2:D4"/>
    <mergeCell ref="E2:E4"/>
    <mergeCell ref="F2:F4"/>
    <mergeCell ref="H2:H4"/>
    <mergeCell ref="I2:I4"/>
    <mergeCell ref="J2:J4"/>
    <mergeCell ref="K2:K4"/>
    <mergeCell ref="A26:E26"/>
    <mergeCell ref="B29:C29"/>
    <mergeCell ref="B30:C30"/>
    <mergeCell ref="B31:C31"/>
    <mergeCell ref="A27:I27"/>
  </mergeCells>
  <printOptions horizontalCentered="1"/>
  <pageMargins left="0.31496062992125984" right="0.35433070866141736" top="1.1811023622047245" bottom="1.1811023622047245" header="0.31496062992125984" footer="0.31496062992125984"/>
  <pageSetup paperSize="9" scale="68" orientation="portrait" horizontalDpi="4294967293" r:id="rId1"/>
  <headerFooter>
    <oddHeader>&amp;L&amp;G&amp;C&amp;"-,Negrito"&amp;18PREFEITURA MUNICIPAL DE POTIM&amp;"-,Regular"&amp;11
&amp;"-,Negrito"&amp;18“TERRA DO ARTESANATO”</oddHeader>
    <oddFooter xml:space="preserve">&amp;CPraça Miguel Corrêa dos Ouros, 101   -   Centro   -   Potim   -   SP   -   CEP  12525-000
Telefax: (12) 3112.9200   -   E-mail: secretaria@potim.sp.gov.br
CNPJ:65.042.855/0001-20     -     I.E.:  Isento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Planilhas</vt:lpstr>
      </vt:variant>
      <vt:variant>
        <vt:i4>21</vt:i4>
      </vt:variant>
      <vt:variant>
        <vt:lpstr>Intervalos nomeados</vt:lpstr>
      </vt:variant>
      <vt:variant>
        <vt:i4>21</vt:i4>
      </vt:variant>
    </vt:vector>
  </HeadingPairs>
  <TitlesOfParts>
    <vt:vector size="42" baseType="lpstr">
      <vt:lpstr>Resumo obras Bloquete</vt:lpstr>
      <vt:lpstr>Cronograma </vt:lpstr>
      <vt:lpstr>Canteiro Obra</vt:lpstr>
      <vt:lpstr>Rua Ceará</vt:lpstr>
      <vt:lpstr>Rua Rio de Janeiro</vt:lpstr>
      <vt:lpstr>Av.Benedito Sebe</vt:lpstr>
      <vt:lpstr>Av.Gumercindo Teberga Alves</vt:lpstr>
      <vt:lpstr>Rua Geraldo V. Mendes</vt:lpstr>
      <vt:lpstr>Rua João C. dos Santos</vt:lpstr>
      <vt:lpstr>Rua Orlando C. Castro</vt:lpstr>
      <vt:lpstr>Rua Jose V. do Carmo</vt:lpstr>
      <vt:lpstr>AV. Juvenal Antunes de Proença</vt:lpstr>
      <vt:lpstr>Rua José Maria Soarez</vt:lpstr>
      <vt:lpstr>Rua Ivone Rodrigues</vt:lpstr>
      <vt:lpstr>Rua Sebastião Lucio Rodrigues</vt:lpstr>
      <vt:lpstr>AV. Maria Amélia de Castro</vt:lpstr>
      <vt:lpstr>AV. Antonio Felipe dos S. Filho</vt:lpstr>
      <vt:lpstr>AV. Zulmira Proença</vt:lpstr>
      <vt:lpstr>Rua Francisco Teodoro d Santos</vt:lpstr>
      <vt:lpstr>Rua Elzira Ap. d Lima Val Verde</vt:lpstr>
      <vt:lpstr>Av Espirito Santo</vt:lpstr>
      <vt:lpstr>'Av Espirito Santo'!Area_de_impressao</vt:lpstr>
      <vt:lpstr>'AV. Antonio Felipe dos S. Filho'!Area_de_impressao</vt:lpstr>
      <vt:lpstr>'AV. Juvenal Antunes de Proença'!Area_de_impressao</vt:lpstr>
      <vt:lpstr>'AV. Maria Amélia de Castro'!Area_de_impressao</vt:lpstr>
      <vt:lpstr>'AV. Zulmira Proença'!Area_de_impressao</vt:lpstr>
      <vt:lpstr>'Av.Benedito Sebe'!Area_de_impressao</vt:lpstr>
      <vt:lpstr>'Av.Gumercindo Teberga Alves'!Area_de_impressao</vt:lpstr>
      <vt:lpstr>'Canteiro Obra'!Area_de_impressao</vt:lpstr>
      <vt:lpstr>'Cronograma '!Area_de_impressao</vt:lpstr>
      <vt:lpstr>'Resumo obras Bloquete'!Area_de_impressao</vt:lpstr>
      <vt:lpstr>'Rua Ceará'!Area_de_impressao</vt:lpstr>
      <vt:lpstr>'Rua Elzira Ap. d Lima Val Verde'!Area_de_impressao</vt:lpstr>
      <vt:lpstr>'Rua Francisco Teodoro d Santos'!Area_de_impressao</vt:lpstr>
      <vt:lpstr>'Rua Geraldo V. Mendes'!Area_de_impressao</vt:lpstr>
      <vt:lpstr>'Rua Ivone Rodrigues'!Area_de_impressao</vt:lpstr>
      <vt:lpstr>'Rua João C. dos Santos'!Area_de_impressao</vt:lpstr>
      <vt:lpstr>'Rua José Maria Soarez'!Area_de_impressao</vt:lpstr>
      <vt:lpstr>'Rua Jose V. do Carmo'!Area_de_impressao</vt:lpstr>
      <vt:lpstr>'Rua Orlando C. Castro'!Area_de_impressao</vt:lpstr>
      <vt:lpstr>'Rua Rio de Janeiro'!Area_de_impressao</vt:lpstr>
      <vt:lpstr>'Rua Sebastião Lucio Rodrigues'!Area_de_impressao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Engenharia</dc:creator>
  <cp:lastModifiedBy>Andre Luis</cp:lastModifiedBy>
  <cp:lastPrinted>2019-09-24T18:06:05Z</cp:lastPrinted>
  <dcterms:created xsi:type="dcterms:W3CDTF">2018-04-16T17:15:52Z</dcterms:created>
  <dcterms:modified xsi:type="dcterms:W3CDTF">2019-09-24T18:16:20Z</dcterms:modified>
</cp:coreProperties>
</file>