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40" windowWidth="21840" windowHeight="12465" activeTab="1"/>
  </bookViews>
  <sheets>
    <sheet name="T. PRISMÁTICO" sheetId="4" r:id="rId1"/>
    <sheet name="ARMAÇÃO" sheetId="3" r:id="rId2"/>
  </sheets>
  <definedNames>
    <definedName name="_xlnm.Print_Area" localSheetId="1">ARMAÇÃO!$A$1:$M$129</definedName>
    <definedName name="_xlnm.Print_Area" localSheetId="0">'T. PRISMÁTICO'!$A$1:$P$162</definedName>
    <definedName name="_xlnm.Print_Titles" localSheetId="1">ARMAÇÃO!$1:$5</definedName>
    <definedName name="_xlnm.Print_Titles" localSheetId="0">'T. PRISMÁTICO'!$1:$6</definedName>
  </definedNames>
  <calcPr calcId="144525"/>
</workbook>
</file>

<file path=xl/calcChain.xml><?xml version="1.0" encoding="utf-8"?>
<calcChain xmlns="http://schemas.openxmlformats.org/spreadsheetml/2006/main">
  <c r="M114" i="4" l="1"/>
  <c r="M115" i="4"/>
  <c r="M116" i="4"/>
  <c r="M113" i="4"/>
  <c r="M89" i="4"/>
  <c r="M90" i="4"/>
  <c r="M91" i="4"/>
  <c r="M92" i="4"/>
  <c r="I104" i="3" l="1"/>
  <c r="B104" i="3"/>
  <c r="B124" i="3"/>
  <c r="B115" i="3"/>
  <c r="I84" i="3" l="1"/>
  <c r="B84" i="3"/>
  <c r="B75" i="3"/>
  <c r="I75" i="3" s="1"/>
  <c r="B53" i="3"/>
  <c r="I53" i="3" s="1"/>
  <c r="I62" i="3"/>
  <c r="B62" i="3"/>
  <c r="B13" i="3"/>
  <c r="I13" i="3" s="1"/>
  <c r="B42" i="3" l="1"/>
  <c r="I42" i="3"/>
  <c r="B33" i="3"/>
  <c r="I33" i="3" s="1"/>
  <c r="A67" i="4" l="1"/>
  <c r="F43" i="4"/>
  <c r="I85" i="3" l="1"/>
  <c r="I105" i="3" l="1"/>
  <c r="L101" i="3"/>
  <c r="L81" i="3"/>
  <c r="E81" i="3"/>
  <c r="E101" i="3"/>
  <c r="E121" i="3"/>
  <c r="B125" i="3"/>
  <c r="B105" i="3"/>
  <c r="B63" i="3"/>
  <c r="B85" i="3"/>
  <c r="L59" i="3"/>
  <c r="E59" i="3"/>
  <c r="I63" i="3"/>
  <c r="I43" i="3"/>
  <c r="B43" i="3"/>
  <c r="L39" i="3"/>
  <c r="E39" i="3"/>
  <c r="L19" i="3" l="1"/>
  <c r="E19" i="3"/>
  <c r="I23" i="3"/>
  <c r="B23" i="3"/>
  <c r="I22" i="3"/>
  <c r="M11" i="4"/>
  <c r="B22" i="3" l="1"/>
  <c r="W8" i="4" l="1"/>
  <c r="U9" i="4"/>
  <c r="U7" i="4"/>
  <c r="C109" i="4" l="1"/>
  <c r="A109" i="4"/>
  <c r="E104" i="4"/>
  <c r="M106" i="4" s="1"/>
  <c r="E81" i="4"/>
  <c r="L79" i="4" s="1"/>
  <c r="A86" i="4"/>
  <c r="E62" i="4"/>
  <c r="N63" i="4" s="1"/>
  <c r="C86" i="4"/>
  <c r="M95" i="4" l="1"/>
  <c r="M82" i="4"/>
  <c r="I95" i="3"/>
  <c r="I101" i="3" s="1"/>
  <c r="B81" i="3"/>
  <c r="C137" i="4"/>
  <c r="B56" i="3" s="1"/>
  <c r="B121" i="3"/>
  <c r="M119" i="4"/>
  <c r="B95" i="3"/>
  <c r="B101" i="3" s="1"/>
  <c r="I81" i="3"/>
  <c r="M76" i="4"/>
  <c r="L59" i="4"/>
  <c r="K23" i="4"/>
  <c r="K22" i="4"/>
  <c r="K21" i="4"/>
  <c r="A43" i="4"/>
  <c r="E38" i="4"/>
  <c r="C67" i="4"/>
  <c r="M63" i="4"/>
  <c r="B19" i="3"/>
  <c r="B8" i="3"/>
  <c r="B7" i="3"/>
  <c r="H33" i="4"/>
  <c r="J33" i="4"/>
  <c r="M48" i="4" l="1"/>
  <c r="C158" i="4"/>
  <c r="M39" i="4"/>
  <c r="C143" i="4"/>
  <c r="B78" i="3" s="1"/>
  <c r="C159" i="4"/>
  <c r="W7" i="4"/>
  <c r="W10" i="4" s="1"/>
  <c r="U8" i="4"/>
  <c r="U10" i="4" s="1"/>
  <c r="I59" i="3"/>
  <c r="B39" i="3"/>
  <c r="U11" i="4"/>
  <c r="C139" i="4"/>
  <c r="I56" i="3" s="1"/>
  <c r="L102" i="4"/>
  <c r="M118" i="4" s="1"/>
  <c r="C145" i="4"/>
  <c r="I78" i="3" s="1"/>
  <c r="M94" i="4"/>
  <c r="B109" i="3"/>
  <c r="E109" i="3" s="1"/>
  <c r="I48" i="3"/>
  <c r="B110" i="3"/>
  <c r="E110" i="3" s="1"/>
  <c r="E122" i="3" s="1"/>
  <c r="B48" i="3"/>
  <c r="I90" i="3"/>
  <c r="I28" i="3"/>
  <c r="B90" i="3"/>
  <c r="I70" i="3"/>
  <c r="B70" i="3"/>
  <c r="I89" i="3"/>
  <c r="L89" i="3" s="1"/>
  <c r="B89" i="3"/>
  <c r="E89" i="3" s="1"/>
  <c r="B69" i="3"/>
  <c r="L58" i="4"/>
  <c r="I39" i="3"/>
  <c r="B59" i="3"/>
  <c r="L33" i="4"/>
  <c r="C160" i="4" l="1"/>
  <c r="B118" i="3" s="1"/>
  <c r="E124" i="3"/>
  <c r="E69" i="3"/>
  <c r="I69" i="3"/>
  <c r="L69" i="3" s="1"/>
  <c r="L36" i="4"/>
  <c r="M47" i="4" s="1"/>
  <c r="L57" i="4" l="1"/>
  <c r="L60" i="4" s="1"/>
  <c r="M45" i="4"/>
  <c r="M72" i="4"/>
  <c r="M44" i="4"/>
  <c r="M70" i="4" l="1"/>
  <c r="N72" i="4"/>
  <c r="C133" i="4" s="1"/>
  <c r="I36" i="3" s="1"/>
  <c r="N70" i="4"/>
  <c r="C131" i="4" s="1"/>
  <c r="B36" i="3" s="1"/>
  <c r="N75" i="4"/>
  <c r="M75" i="4"/>
  <c r="E111" i="3"/>
  <c r="E112" i="3" s="1"/>
  <c r="C127" i="4"/>
  <c r="I16" i="3" s="1"/>
  <c r="C125" i="4"/>
  <c r="B16" i="3" s="1"/>
  <c r="M71" i="4"/>
  <c r="C150" i="4" s="1"/>
  <c r="B98" i="3" s="1"/>
  <c r="E91" i="3" s="1"/>
  <c r="E92" i="3" s="1"/>
  <c r="M73" i="4"/>
  <c r="C154" i="4" s="1"/>
  <c r="I98" i="3" s="1"/>
  <c r="L91" i="3" s="1"/>
  <c r="L92" i="3" s="1"/>
  <c r="I14" i="3"/>
  <c r="I19" i="3"/>
  <c r="I34" i="3" l="1"/>
  <c r="B34" i="3"/>
  <c r="B54" i="3" l="1"/>
  <c r="I54" i="3"/>
  <c r="L51" i="3" s="1"/>
  <c r="L31" i="3"/>
  <c r="E31" i="3"/>
  <c r="E71" i="3" l="1"/>
  <c r="E72" i="3" s="1"/>
  <c r="L71" i="3"/>
  <c r="L72" i="3" s="1"/>
  <c r="E51" i="3"/>
  <c r="B76" i="3"/>
  <c r="E73" i="3" s="1"/>
  <c r="I76" i="3"/>
  <c r="L73" i="3" s="1"/>
  <c r="I96" i="3"/>
  <c r="L93" i="3" s="1"/>
  <c r="L94" i="3" s="1"/>
  <c r="L95" i="3" s="1"/>
  <c r="B96" i="3"/>
  <c r="L11" i="3"/>
  <c r="I47" i="3"/>
  <c r="E11" i="3"/>
  <c r="L74" i="3" l="1"/>
  <c r="L75" i="3" s="1"/>
  <c r="E74" i="3"/>
  <c r="E75" i="3" s="1"/>
  <c r="L47" i="3"/>
  <c r="B116" i="3"/>
  <c r="E113" i="3" s="1"/>
  <c r="E93" i="3"/>
  <c r="E94" i="3" s="1"/>
  <c r="E95" i="3" s="1"/>
  <c r="B27" i="3"/>
  <c r="E27" i="3" s="1"/>
  <c r="B47" i="3"/>
  <c r="E8" i="3"/>
  <c r="B28" i="3"/>
  <c r="I7" i="3"/>
  <c r="L7" i="3" s="1"/>
  <c r="I8" i="3"/>
  <c r="E7" i="3"/>
  <c r="E20" i="3" l="1"/>
  <c r="L8" i="3"/>
  <c r="L20" i="3" s="1"/>
  <c r="L22" i="3" s="1"/>
  <c r="E114" i="3"/>
  <c r="E115" i="3" s="1"/>
  <c r="E116" i="3" s="1"/>
  <c r="L90" i="3"/>
  <c r="L102" i="3" s="1"/>
  <c r="L104" i="3" s="1"/>
  <c r="I27" i="3"/>
  <c r="E47" i="3"/>
  <c r="L48" i="3"/>
  <c r="E28" i="3"/>
  <c r="E40" i="3" s="1"/>
  <c r="L60" i="3" l="1"/>
  <c r="L62" i="3" s="1"/>
  <c r="L27" i="3"/>
  <c r="E42" i="3"/>
  <c r="E22" i="3"/>
  <c r="E117" i="3"/>
  <c r="E119" i="3" s="1"/>
  <c r="E70" i="3"/>
  <c r="E82" i="3" s="1"/>
  <c r="L96" i="3"/>
  <c r="L97" i="3"/>
  <c r="L99" i="3" s="1"/>
  <c r="E29" i="3"/>
  <c r="L28" i="3"/>
  <c r="L40" i="3" s="1"/>
  <c r="L42" i="3" s="1"/>
  <c r="E48" i="3"/>
  <c r="E60" i="3" s="1"/>
  <c r="E84" i="3" l="1"/>
  <c r="E62" i="3"/>
  <c r="E118" i="3"/>
  <c r="E77" i="3"/>
  <c r="E79" i="3" s="1"/>
  <c r="E76" i="3"/>
  <c r="L98" i="3"/>
  <c r="L70" i="3"/>
  <c r="E90" i="3"/>
  <c r="E102" i="3" s="1"/>
  <c r="E104" i="3" s="1"/>
  <c r="E9" i="3"/>
  <c r="E32" i="3"/>
  <c r="E30" i="3"/>
  <c r="L82" i="3" l="1"/>
  <c r="L84" i="3" s="1"/>
  <c r="I102" i="3"/>
  <c r="L103" i="3" s="1"/>
  <c r="L105" i="3" s="1"/>
  <c r="L106" i="3" s="1"/>
  <c r="I154" i="4" s="1"/>
  <c r="B122" i="3"/>
  <c r="E123" i="3" s="1"/>
  <c r="E125" i="3" s="1"/>
  <c r="E126" i="3" s="1"/>
  <c r="I160" i="4" s="1"/>
  <c r="O160" i="4" s="1"/>
  <c r="E78" i="3"/>
  <c r="L77" i="3"/>
  <c r="L79" i="3" s="1"/>
  <c r="L76" i="3"/>
  <c r="E96" i="3"/>
  <c r="E97" i="3"/>
  <c r="E99" i="3" s="1"/>
  <c r="E33" i="3"/>
  <c r="E34" i="3" s="1"/>
  <c r="E12" i="3"/>
  <c r="E13" i="3" s="1"/>
  <c r="E14" i="3" s="1"/>
  <c r="E10" i="3"/>
  <c r="B82" i="3" l="1"/>
  <c r="E83" i="3" s="1"/>
  <c r="E85" i="3" s="1"/>
  <c r="E86" i="3" s="1"/>
  <c r="I143" i="4" s="1"/>
  <c r="L78" i="3"/>
  <c r="E98" i="3"/>
  <c r="E35" i="3"/>
  <c r="E37" i="3" s="1"/>
  <c r="E15" i="3"/>
  <c r="E17" i="3" s="1"/>
  <c r="B102" i="3" l="1"/>
  <c r="E103" i="3" s="1"/>
  <c r="E105" i="3" s="1"/>
  <c r="E106" i="3" s="1"/>
  <c r="I150" i="4" s="1"/>
  <c r="I82" i="3"/>
  <c r="L83" i="3" s="1"/>
  <c r="L85" i="3" s="1"/>
  <c r="L86" i="3" s="1"/>
  <c r="I145" i="4" s="1"/>
  <c r="E36" i="3"/>
  <c r="B40" i="3" s="1"/>
  <c r="E41" i="3" s="1"/>
  <c r="E43" i="3" s="1"/>
  <c r="E44" i="3" s="1"/>
  <c r="E16" i="3"/>
  <c r="B20" i="3" s="1"/>
  <c r="E21" i="3" s="1"/>
  <c r="I131" i="4" l="1"/>
  <c r="O131" i="4" s="1"/>
  <c r="E23" i="3"/>
  <c r="E24" i="3" s="1"/>
  <c r="I125" i="4" s="1"/>
  <c r="O125" i="4" s="1"/>
  <c r="L49" i="3" l="1"/>
  <c r="E49" i="3"/>
  <c r="L9" i="3"/>
  <c r="L10" i="3" s="1"/>
  <c r="L29" i="3"/>
  <c r="E52" i="3" l="1"/>
  <c r="E50" i="3"/>
  <c r="L52" i="3"/>
  <c r="L50" i="3"/>
  <c r="L12" i="3"/>
  <c r="L13" i="3" s="1"/>
  <c r="L14" i="3" s="1"/>
  <c r="L32" i="3"/>
  <c r="L30" i="3"/>
  <c r="E53" i="3" l="1"/>
  <c r="E55" i="3" s="1"/>
  <c r="E57" i="3" s="1"/>
  <c r="L53" i="3"/>
  <c r="L54" i="3" s="1"/>
  <c r="L15" i="3"/>
  <c r="L17" i="3" s="1"/>
  <c r="L33" i="3"/>
  <c r="L34" i="3" s="1"/>
  <c r="E54" i="3" l="1"/>
  <c r="E56" i="3" s="1"/>
  <c r="L55" i="3"/>
  <c r="L56" i="3" s="1"/>
  <c r="I60" i="3" s="1"/>
  <c r="L61" i="3" s="1"/>
  <c r="L63" i="3" s="1"/>
  <c r="L64" i="3" s="1"/>
  <c r="I139" i="4" s="1"/>
  <c r="O139" i="4" s="1"/>
  <c r="L16" i="3"/>
  <c r="I20" i="3" s="1"/>
  <c r="L21" i="3" s="1"/>
  <c r="L35" i="3"/>
  <c r="L36" i="3" s="1"/>
  <c r="I40" i="3" s="1"/>
  <c r="L41" i="3" s="1"/>
  <c r="L43" i="3" s="1"/>
  <c r="L44" i="3" s="1"/>
  <c r="O154" i="4" l="1"/>
  <c r="O145" i="4"/>
  <c r="B60" i="3"/>
  <c r="E61" i="3" s="1"/>
  <c r="E63" i="3" s="1"/>
  <c r="E64" i="3" s="1"/>
  <c r="I137" i="4" s="1"/>
  <c r="O137" i="4" s="1"/>
  <c r="I133" i="4"/>
  <c r="O133" i="4" s="1"/>
  <c r="L23" i="3"/>
  <c r="L57" i="3"/>
  <c r="L37" i="3"/>
  <c r="O150" i="4" l="1"/>
  <c r="O143" i="4"/>
  <c r="L24" i="3"/>
  <c r="I127" i="4" s="1"/>
  <c r="O127" i="4" s="1"/>
</calcChain>
</file>

<file path=xl/sharedStrings.xml><?xml version="1.0" encoding="utf-8"?>
<sst xmlns="http://schemas.openxmlformats.org/spreadsheetml/2006/main" count="888" uniqueCount="172">
  <si>
    <t>X</t>
  </si>
  <si>
    <t>=</t>
  </si>
  <si>
    <t>m</t>
  </si>
  <si>
    <t>Mpa</t>
  </si>
  <si>
    <t>kN/m³</t>
  </si>
  <si>
    <t>kN/m²</t>
  </si>
  <si>
    <t>LAJE DE TAMPA</t>
  </si>
  <si>
    <t>fck</t>
  </si>
  <si>
    <t>fc</t>
  </si>
  <si>
    <t>KN/cm²</t>
  </si>
  <si>
    <t>fyk</t>
  </si>
  <si>
    <t>fyd</t>
  </si>
  <si>
    <t>yc</t>
  </si>
  <si>
    <t>Md</t>
  </si>
  <si>
    <t>KNxcm</t>
  </si>
  <si>
    <t>ya</t>
  </si>
  <si>
    <t>DL</t>
  </si>
  <si>
    <t>cm</t>
  </si>
  <si>
    <t>yf</t>
  </si>
  <si>
    <t xml:space="preserve">D </t>
  </si>
  <si>
    <t>b</t>
  </si>
  <si>
    <t>k</t>
  </si>
  <si>
    <t>h</t>
  </si>
  <si>
    <t>k'</t>
  </si>
  <si>
    <t>d'</t>
  </si>
  <si>
    <r>
      <t>A</t>
    </r>
    <r>
      <rPr>
        <vertAlign val="subscript"/>
        <sz val="10"/>
        <rFont val="Arial"/>
        <family val="2"/>
      </rPr>
      <t>S1</t>
    </r>
  </si>
  <si>
    <t>cm²</t>
  </si>
  <si>
    <t>KL</t>
  </si>
  <si>
    <r>
      <t>A</t>
    </r>
    <r>
      <rPr>
        <vertAlign val="subscript"/>
        <sz val="10"/>
        <rFont val="Arial"/>
        <family val="2"/>
      </rPr>
      <t>S2</t>
    </r>
  </si>
  <si>
    <t>Mmáx</t>
  </si>
  <si>
    <t>KNxm</t>
  </si>
  <si>
    <r>
      <t>A</t>
    </r>
    <r>
      <rPr>
        <b/>
        <vertAlign val="subscript"/>
        <sz val="10"/>
        <rFont val="Arial"/>
        <family val="2"/>
      </rPr>
      <t>S</t>
    </r>
  </si>
  <si>
    <r>
      <t>A'</t>
    </r>
    <r>
      <rPr>
        <b/>
        <vertAlign val="subscript"/>
        <sz val="10"/>
        <rFont val="Arial"/>
        <family val="2"/>
      </rPr>
      <t>S</t>
    </r>
  </si>
  <si>
    <t>LAJE DE FUNDO</t>
  </si>
  <si>
    <t>Peso próprio</t>
  </si>
  <si>
    <t>Revestimento</t>
  </si>
  <si>
    <t>kN</t>
  </si>
  <si>
    <t>Peso específico do concreto</t>
  </si>
  <si>
    <t>Peso específico da brita</t>
  </si>
  <si>
    <t>Espessura da laje de tampa</t>
  </si>
  <si>
    <t xml:space="preserve">m </t>
  </si>
  <si>
    <t>Ly =</t>
  </si>
  <si>
    <t>Lx =</t>
  </si>
  <si>
    <t>Tabela de Bares</t>
  </si>
  <si>
    <t>Momentos fletores</t>
  </si>
  <si>
    <t>Mx =</t>
  </si>
  <si>
    <t>My =</t>
  </si>
  <si>
    <t>cm/m</t>
  </si>
  <si>
    <t>Ø</t>
  </si>
  <si>
    <t>Módulo de elasticidade do concreto</t>
  </si>
  <si>
    <t>µx =</t>
  </si>
  <si>
    <t>µy =</t>
  </si>
  <si>
    <t>α1 =</t>
  </si>
  <si>
    <r>
      <t>f</t>
    </r>
    <r>
      <rPr>
        <vertAlign val="subscript"/>
        <sz val="11"/>
        <color theme="1"/>
        <rFont val="Calibri"/>
        <family val="2"/>
        <scheme val="minor"/>
      </rPr>
      <t xml:space="preserve"> calc</t>
    </r>
    <r>
      <rPr>
        <sz val="11"/>
        <color theme="1"/>
        <rFont val="Calibri"/>
        <family val="2"/>
        <scheme val="minor"/>
      </rPr>
      <t xml:space="preserve"> =</t>
    </r>
  </si>
  <si>
    <r>
      <t>f</t>
    </r>
    <r>
      <rPr>
        <vertAlign val="subscript"/>
        <sz val="11"/>
        <color theme="1"/>
        <rFont val="Calibri"/>
        <family val="2"/>
        <scheme val="minor"/>
      </rPr>
      <t>adm</t>
    </r>
    <r>
      <rPr>
        <sz val="11"/>
        <color theme="1"/>
        <rFont val="Calibri"/>
        <family val="2"/>
        <scheme val="minor"/>
      </rPr>
      <t xml:space="preserve"> =</t>
    </r>
  </si>
  <si>
    <t>a cada</t>
  </si>
  <si>
    <t>λ =</t>
  </si>
  <si>
    <t>MPa</t>
  </si>
  <si>
    <t>Sobrecarga</t>
  </si>
  <si>
    <t>µ'x =</t>
  </si>
  <si>
    <t>µ'y =</t>
  </si>
  <si>
    <t>Carga distribuida na laje de fundo</t>
  </si>
  <si>
    <t>Peso da laje de cobertura</t>
  </si>
  <si>
    <t>Peso das paredes</t>
  </si>
  <si>
    <t>GEOMETRIA DA ESTRUTURA</t>
  </si>
  <si>
    <t>Largura interna</t>
  </si>
  <si>
    <t>Altura interna</t>
  </si>
  <si>
    <t>Espessura da laje de fundo</t>
  </si>
  <si>
    <t>Espessura das paredes</t>
  </si>
  <si>
    <t>Peso da mísula</t>
  </si>
  <si>
    <t>p1</t>
  </si>
  <si>
    <t>p2</t>
  </si>
  <si>
    <t>Interno</t>
  </si>
  <si>
    <t>Externo</t>
  </si>
  <si>
    <t>Catetos das mísulas</t>
  </si>
  <si>
    <t>Carga distribuida na laje de tampa</t>
  </si>
  <si>
    <t>Xx =</t>
  </si>
  <si>
    <t>Xy =</t>
  </si>
  <si>
    <t>-Asx =</t>
  </si>
  <si>
    <t xml:space="preserve"> LAJE DE TAMPA - ARMAÇÃO DIREÇÃO "X" POSITIVO</t>
  </si>
  <si>
    <t xml:space="preserve"> LAJE DE TAMPA - ARMAÇÃO DIREÇÃO "Y" POSITIVO</t>
  </si>
  <si>
    <t>LAJE PAREDE "X"</t>
  </si>
  <si>
    <t xml:space="preserve">Carga distribuida triangular </t>
  </si>
  <si>
    <t>q</t>
  </si>
  <si>
    <t xml:space="preserve">CARACTERÍSTICAS DOS MATERIAIS </t>
  </si>
  <si>
    <t>Peso específico da água</t>
  </si>
  <si>
    <t>La =</t>
  </si>
  <si>
    <t>Lb =</t>
  </si>
  <si>
    <t>γ =</t>
  </si>
  <si>
    <t>µ'y=</t>
  </si>
  <si>
    <t>LAJE PAREDE "Y"</t>
  </si>
  <si>
    <t>La=</t>
  </si>
  <si>
    <t>FORMAS</t>
  </si>
  <si>
    <t>CONCRETO</t>
  </si>
  <si>
    <t>m²</t>
  </si>
  <si>
    <t>m³</t>
  </si>
  <si>
    <t>CÁLCULO ESTRUTURAL</t>
  </si>
  <si>
    <t>cf =</t>
  </si>
  <si>
    <t>Rô calc =</t>
  </si>
  <si>
    <t>Acr =</t>
  </si>
  <si>
    <t>aw =</t>
  </si>
  <si>
    <t>Es =</t>
  </si>
  <si>
    <t>wk =</t>
  </si>
  <si>
    <t>cf1 =</t>
  </si>
  <si>
    <t>cf2 =</t>
  </si>
  <si>
    <t>Resistencia característica do Concreto (Fck)</t>
  </si>
  <si>
    <t>Resistencia característica do Aço (Fyk)</t>
  </si>
  <si>
    <t>mm</t>
  </si>
  <si>
    <t>kN/cm²</t>
  </si>
  <si>
    <t>nb =</t>
  </si>
  <si>
    <t>Verificação da fissuração</t>
  </si>
  <si>
    <t>Módulo de elasticidade do aço</t>
  </si>
  <si>
    <t>GPa</t>
  </si>
  <si>
    <t>Abertura máxima das fissuras do concreto</t>
  </si>
  <si>
    <t xml:space="preserve">mm </t>
  </si>
  <si>
    <r>
      <t>cf.A</t>
    </r>
    <r>
      <rPr>
        <b/>
        <vertAlign val="subscript"/>
        <sz val="11"/>
        <color theme="1"/>
        <rFont val="Calibri"/>
        <family val="2"/>
        <scheme val="minor"/>
      </rPr>
      <t xml:space="preserve">s </t>
    </r>
    <r>
      <rPr>
        <b/>
        <sz val="11"/>
        <color theme="1"/>
        <rFont val="Calibri"/>
        <family val="2"/>
        <scheme val="minor"/>
      </rPr>
      <t>=</t>
    </r>
  </si>
  <si>
    <t>Ø =</t>
  </si>
  <si>
    <t>+Asx =</t>
  </si>
  <si>
    <t>+Asy =</t>
  </si>
  <si>
    <t>Ma =</t>
  </si>
  <si>
    <t>Xa =</t>
  </si>
  <si>
    <t>Mb =</t>
  </si>
  <si>
    <t>Xb =</t>
  </si>
  <si>
    <t>Fundo com parede "X"</t>
  </si>
  <si>
    <t>Fundo com parede "Y"</t>
  </si>
  <si>
    <t>Parede "X" com parede "Y"</t>
  </si>
  <si>
    <t>kN.m</t>
  </si>
  <si>
    <t>Mb' =</t>
  </si>
  <si>
    <t>CÁLCULO DOS ESFORÇOS SOLICITANTES</t>
  </si>
  <si>
    <t>3.1</t>
  </si>
  <si>
    <t>3.2</t>
  </si>
  <si>
    <t>3.3</t>
  </si>
  <si>
    <t>3.4</t>
  </si>
  <si>
    <t>3.5</t>
  </si>
  <si>
    <t>1.0</t>
  </si>
  <si>
    <t>2.0</t>
  </si>
  <si>
    <t>3.0</t>
  </si>
  <si>
    <t>(Peças não protegidas em meio agressivo)</t>
  </si>
  <si>
    <t>Flechas</t>
  </si>
  <si>
    <t>Laje da tampa</t>
  </si>
  <si>
    <t xml:space="preserve">Tabela de Bares  </t>
  </si>
  <si>
    <t>PAREDE "X" COM PAREDE "Y"   "b" POSITIVO</t>
  </si>
  <si>
    <t xml:space="preserve">Comprimento </t>
  </si>
  <si>
    <t>Tipo 01</t>
  </si>
  <si>
    <t>Tipo 01/06</t>
  </si>
  <si>
    <t>Tipo 15</t>
  </si>
  <si>
    <t>Laje de fundo</t>
  </si>
  <si>
    <t xml:space="preserve"> LAJE DE FUNDO - ARMAÇÃO DIREÇÃO "X" POSITIVO</t>
  </si>
  <si>
    <t xml:space="preserve"> LAJE DE FUNDO - ARMAÇÃO DIREÇÃO "Y" POSITIVO</t>
  </si>
  <si>
    <t>MOMENTOS E CÁLCULO DAS ARMADURAS</t>
  </si>
  <si>
    <t xml:space="preserve">Parede "X" </t>
  </si>
  <si>
    <t xml:space="preserve">Parede "Y"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</si>
  <si>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</si>
  <si>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PAREDE "X" - ARMAÇÃO DIREÇÃO "X" POSITIVO</t>
  </si>
  <si>
    <t>PAREDE "X" - ARMAÇÃO DIREÇÃO "Y" POSITIVO</t>
  </si>
  <si>
    <t>PAREDE "Y" - ARMAÇÃO DIREÇÃO "X" POSITIVO</t>
  </si>
  <si>
    <t>PAREDE "Y" - ARMAÇÃO DIREÇÃO "Y" POSITIVO</t>
  </si>
  <si>
    <t>FUNDO COM PAREDE "X" NEGATIVO</t>
  </si>
  <si>
    <t>FUNDO COM PAREDE "Y" NEGATIVO</t>
  </si>
  <si>
    <t>Momentos negativos (faces internas das paredes)</t>
  </si>
  <si>
    <t>Momentos negativos (faces superior da laje de fundo e interna da parede)</t>
  </si>
  <si>
    <t>Momentos positivos (faces externas das paredes)</t>
  </si>
  <si>
    <t>Momentos positivos (face superior da laje de fundo)</t>
  </si>
  <si>
    <t>Momentos positivos (face inferior da laje de tampa)</t>
  </si>
  <si>
    <t>kN.m (horizontal)</t>
  </si>
  <si>
    <t>kN.m (vertical)</t>
  </si>
  <si>
    <t>Peso específico do solo</t>
  </si>
  <si>
    <t>Coeficiente de empuxo ativo (Ka)</t>
  </si>
  <si>
    <t>SISTEMA DE ESGOTOS DE POTIM</t>
  </si>
  <si>
    <t>POTIM - SP</t>
  </si>
  <si>
    <t>1,12 2,58 5,72</t>
  </si>
  <si>
    <t>ELEVATÓRIA DE ESGOTOS - EE-02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</si>
</sst>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0"/>
      <name val="Arial"/>
      <family val="2"/>
    </font>
    <font>
      <vertAlign val="subscript"/>
      <sz val="10"/>
      <name val="Arial"/>
      <family val="2"/>
    </font>
    <font>
      <b/>
      <vertAlign val="subscript"/>
      <sz val="10"/>
      <name val="Arial"/>
      <family val="2"/>
    </font>
    <font>
      <sz val="11"/>
      <color theme="1"/>
      <name val="Calibri"/>
      <family val="2"/>
    </font>
    <font>
      <b/>
      <vertAlign val="subscript"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 diagonalDown="1">
      <left/>
      <right style="thin">
        <color auto="1"/>
      </right>
      <top style="thin">
        <color auto="1"/>
      </top>
      <bottom/>
      <diagonal style="thin">
        <color auto="1"/>
      </diagonal>
    </border>
    <border>
      <left style="medium">
        <color auto="1"/>
      </left>
      <right/>
      <top style="double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0" fillId="0" borderId="0" xfId="0" applyBorder="1"/>
    <xf numFmtId="11" fontId="0" fillId="0" borderId="0" xfId="0" applyNumberFormat="1"/>
    <xf numFmtId="0" fontId="1" fillId="0" borderId="0" xfId="0" applyFon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3" fillId="0" borderId="0" xfId="0" applyFont="1"/>
    <xf numFmtId="2" fontId="3" fillId="0" borderId="0" xfId="0" applyNumberFormat="1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2" borderId="0" xfId="0" applyFill="1"/>
    <xf numFmtId="0" fontId="0" fillId="0" borderId="0" xfId="0" applyFill="1"/>
    <xf numFmtId="165" fontId="0" fillId="0" borderId="0" xfId="0" applyNumberFormat="1" applyFill="1"/>
    <xf numFmtId="0" fontId="0" fillId="0" borderId="0" xfId="0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10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2" fontId="0" fillId="0" borderId="15" xfId="0" applyNumberFormat="1" applyBorder="1"/>
    <xf numFmtId="0" fontId="1" fillId="0" borderId="0" xfId="0" applyFont="1" applyAlignment="1">
      <alignment horizontal="right"/>
    </xf>
    <xf numFmtId="0" fontId="1" fillId="0" borderId="0" xfId="0" applyFont="1" applyFill="1" applyBorder="1"/>
    <xf numFmtId="0" fontId="0" fillId="0" borderId="0" xfId="0" quotePrefix="1"/>
    <xf numFmtId="0" fontId="0" fillId="0" borderId="0" xfId="0" quotePrefix="1" applyAlignment="1">
      <alignment horizontal="center"/>
    </xf>
    <xf numFmtId="2" fontId="0" fillId="0" borderId="0" xfId="0" applyNumberFormat="1" applyAlignment="1">
      <alignment horizontal="center"/>
    </xf>
    <xf numFmtId="0" fontId="6" fillId="0" borderId="0" xfId="0" applyFont="1"/>
    <xf numFmtId="2" fontId="1" fillId="0" borderId="0" xfId="0" applyNumberFormat="1" applyFont="1"/>
    <xf numFmtId="2" fontId="0" fillId="0" borderId="0" xfId="0" applyNumberFormat="1" applyAlignment="1">
      <alignment horizontal="right"/>
    </xf>
    <xf numFmtId="2" fontId="0" fillId="0" borderId="10" xfId="0" applyNumberFormat="1" applyBorder="1"/>
    <xf numFmtId="0" fontId="0" fillId="0" borderId="10" xfId="0" applyBorder="1" applyAlignment="1">
      <alignment horizontal="center"/>
    </xf>
    <xf numFmtId="0" fontId="0" fillId="0" borderId="17" xfId="0" applyBorder="1"/>
    <xf numFmtId="0" fontId="1" fillId="0" borderId="17" xfId="0" applyFont="1" applyBorder="1" applyAlignment="1">
      <alignment horizontal="right"/>
    </xf>
    <xf numFmtId="0" fontId="1" fillId="0" borderId="17" xfId="0" applyFont="1" applyFill="1" applyBorder="1" applyAlignment="1">
      <alignment horizontal="center"/>
    </xf>
    <xf numFmtId="2" fontId="1" fillId="0" borderId="17" xfId="0" applyNumberFormat="1" applyFont="1" applyBorder="1"/>
    <xf numFmtId="0" fontId="1" fillId="0" borderId="17" xfId="0" applyFont="1" applyFill="1" applyBorder="1"/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8" xfId="0" applyBorder="1"/>
    <xf numFmtId="0" fontId="0" fillId="0" borderId="20" xfId="0" applyBorder="1"/>
    <xf numFmtId="0" fontId="0" fillId="0" borderId="19" xfId="0" applyBorder="1"/>
    <xf numFmtId="0" fontId="0" fillId="0" borderId="21" xfId="0" applyBorder="1"/>
    <xf numFmtId="11" fontId="0" fillId="0" borderId="0" xfId="0" applyNumberFormat="1" applyAlignment="1">
      <alignment horizontal="right"/>
    </xf>
    <xf numFmtId="2" fontId="0" fillId="0" borderId="0" xfId="0" applyNumberFormat="1" applyFill="1" applyAlignment="1">
      <alignment horizontal="right"/>
    </xf>
    <xf numFmtId="0" fontId="6" fillId="0" borderId="0" xfId="0" applyFont="1" applyFill="1" applyAlignment="1">
      <alignment horizontal="center"/>
    </xf>
    <xf numFmtId="166" fontId="0" fillId="0" borderId="0" xfId="0" applyNumberFormat="1" applyBorder="1"/>
    <xf numFmtId="0" fontId="0" fillId="0" borderId="0" xfId="0" applyFill="1" applyBorder="1"/>
    <xf numFmtId="2" fontId="0" fillId="0" borderId="0" xfId="0" applyNumberFormat="1" applyBorder="1"/>
    <xf numFmtId="0" fontId="1" fillId="0" borderId="0" xfId="0" applyFont="1" applyBorder="1"/>
    <xf numFmtId="2" fontId="1" fillId="0" borderId="0" xfId="0" applyNumberFormat="1" applyFont="1" applyBorder="1"/>
    <xf numFmtId="165" fontId="0" fillId="0" borderId="0" xfId="0" applyNumberFormat="1" applyAlignment="1">
      <alignment horizontal="center"/>
    </xf>
    <xf numFmtId="165" fontId="0" fillId="0" borderId="0" xfId="0" applyNumberFormat="1" applyBorder="1"/>
    <xf numFmtId="0" fontId="1" fillId="2" borderId="0" xfId="0" applyFont="1" applyFill="1" applyBorder="1"/>
    <xf numFmtId="2" fontId="1" fillId="2" borderId="0" xfId="0" applyNumberFormat="1" applyFont="1" applyFill="1" applyBorder="1"/>
    <xf numFmtId="2" fontId="0" fillId="0" borderId="0" xfId="0" quotePrefix="1" applyNumberFormat="1"/>
    <xf numFmtId="2" fontId="0" fillId="0" borderId="0" xfId="0" quotePrefix="1" applyNumberFormat="1" applyFill="1"/>
    <xf numFmtId="2" fontId="0" fillId="0" borderId="0" xfId="0" applyNumberFormat="1" applyFill="1"/>
    <xf numFmtId="0" fontId="0" fillId="2" borderId="0" xfId="0" applyFill="1" applyAlignment="1">
      <alignment horizontal="center"/>
    </xf>
    <xf numFmtId="2" fontId="1" fillId="0" borderId="0" xfId="0" applyNumberFormat="1" applyFont="1" applyAlignment="1">
      <alignment textRotation="90"/>
    </xf>
    <xf numFmtId="0" fontId="0" fillId="0" borderId="0" xfId="0" applyFont="1"/>
    <xf numFmtId="0" fontId="0" fillId="0" borderId="0" xfId="0" quotePrefix="1" applyFill="1"/>
    <xf numFmtId="0" fontId="8" fillId="0" borderId="0" xfId="0" applyFont="1"/>
    <xf numFmtId="2" fontId="0" fillId="0" borderId="0" xfId="0" applyNumberFormat="1" applyAlignment="1">
      <alignment horizontal="left"/>
    </xf>
    <xf numFmtId="0" fontId="9" fillId="0" borderId="0" xfId="0" applyFont="1"/>
    <xf numFmtId="0" fontId="0" fillId="2" borderId="0" xfId="0" quotePrefix="1" applyFill="1"/>
    <xf numFmtId="2" fontId="0" fillId="2" borderId="0" xfId="0" applyNumberFormat="1" applyFill="1"/>
    <xf numFmtId="0" fontId="6" fillId="2" borderId="0" xfId="0" applyFont="1" applyFill="1" applyAlignment="1">
      <alignment horizontal="center"/>
    </xf>
    <xf numFmtId="165" fontId="0" fillId="2" borderId="0" xfId="0" applyNumberFormat="1" applyFill="1"/>
    <xf numFmtId="0" fontId="3" fillId="0" borderId="0" xfId="0" applyFont="1" applyFill="1"/>
    <xf numFmtId="2" fontId="3" fillId="0" borderId="0" xfId="0" applyNumberFormat="1" applyFont="1" applyFill="1"/>
    <xf numFmtId="0" fontId="1" fillId="0" borderId="0" xfId="0" applyFont="1" applyFill="1"/>
    <xf numFmtId="0" fontId="0" fillId="0" borderId="17" xfId="0" applyFill="1" applyBorder="1"/>
    <xf numFmtId="0" fontId="1" fillId="0" borderId="17" xfId="0" applyFont="1" applyFill="1" applyBorder="1" applyAlignment="1">
      <alignment horizontal="right"/>
    </xf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  <xf numFmtId="0" fontId="0" fillId="3" borderId="12" xfId="0" applyFill="1" applyBorder="1"/>
    <xf numFmtId="0" fontId="0" fillId="3" borderId="0" xfId="0" applyFill="1" applyBorder="1"/>
    <xf numFmtId="0" fontId="0" fillId="3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3" borderId="16" xfId="0" applyFill="1" applyBorder="1"/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22" xfId="0" applyFill="1" applyBorder="1"/>
    <xf numFmtId="0" fontId="0" fillId="3" borderId="23" xfId="0" applyFill="1" applyBorder="1"/>
    <xf numFmtId="0" fontId="1" fillId="2" borderId="0" xfId="0" applyFont="1" applyFill="1"/>
    <xf numFmtId="0" fontId="0" fillId="2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1" fillId="0" borderId="0" xfId="0" applyFont="1" applyFill="1" applyBorder="1" applyAlignment="1">
      <alignment horizontal="right"/>
    </xf>
    <xf numFmtId="2" fontId="0" fillId="0" borderId="0" xfId="0" applyNumberFormat="1" applyFill="1" applyBorder="1"/>
    <xf numFmtId="0" fontId="0" fillId="0" borderId="0" xfId="0" applyFill="1" applyAlignment="1">
      <alignment horizontal="center"/>
    </xf>
    <xf numFmtId="0" fontId="0" fillId="2" borderId="0" xfId="0" applyFill="1" applyAlignment="1">
      <alignment horizontal="center"/>
    </xf>
    <xf numFmtId="2" fontId="0" fillId="2" borderId="0" xfId="0" applyNumberFormat="1" applyFill="1" applyAlignment="1">
      <alignment horizontal="right"/>
    </xf>
    <xf numFmtId="0" fontId="1" fillId="4" borderId="0" xfId="0" applyFont="1" applyFill="1"/>
    <xf numFmtId="0" fontId="0" fillId="4" borderId="0" xfId="0" applyFill="1"/>
    <xf numFmtId="0" fontId="1" fillId="4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3" borderId="0" xfId="0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3" fillId="0" borderId="0" xfId="0" applyFont="1" applyAlignment="1">
      <alignment horizontal="center"/>
    </xf>
    <xf numFmtId="2" fontId="1" fillId="0" borderId="0" xfId="0" applyNumberFormat="1" applyFont="1" applyFill="1" applyBorder="1"/>
    <xf numFmtId="0" fontId="3" fillId="2" borderId="0" xfId="0" applyFont="1" applyFill="1"/>
    <xf numFmtId="2" fontId="3" fillId="2" borderId="0" xfId="0" applyNumberFormat="1" applyFont="1" applyFill="1"/>
    <xf numFmtId="0" fontId="0" fillId="4" borderId="0" xfId="0" applyFill="1" applyBorder="1"/>
    <xf numFmtId="0" fontId="1" fillId="4" borderId="0" xfId="0" applyFont="1" applyFill="1" applyBorder="1"/>
    <xf numFmtId="2" fontId="1" fillId="4" borderId="0" xfId="0" applyNumberFormat="1" applyFont="1" applyFill="1" applyBorder="1"/>
    <xf numFmtId="2" fontId="0" fillId="4" borderId="0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173"/>
  <sheetViews>
    <sheetView view="pageBreakPreview" topLeftCell="A151" zoomScale="130" zoomScaleNormal="100" zoomScaleSheetLayoutView="130" workbookViewId="0">
      <selection activeCell="M161" sqref="M161:P161"/>
    </sheetView>
  </sheetViews>
  <sheetFormatPr defaultRowHeight="15" x14ac:dyDescent="0.25"/>
  <cols>
    <col min="1" max="1" width="3.85546875" style="3" customWidth="1"/>
    <col min="2" max="2" width="5.5703125" customWidth="1"/>
    <col min="3" max="3" width="7" customWidth="1"/>
    <col min="4" max="4" width="5.7109375" customWidth="1"/>
    <col min="5" max="5" width="6.28515625" customWidth="1"/>
    <col min="6" max="6" width="7.5703125" customWidth="1"/>
    <col min="7" max="7" width="6.85546875" customWidth="1"/>
    <col min="8" max="8" width="7.140625" customWidth="1"/>
    <col min="9" max="9" width="6.140625" customWidth="1"/>
    <col min="10" max="10" width="6.7109375" customWidth="1"/>
    <col min="11" max="11" width="5.5703125" customWidth="1"/>
    <col min="12" max="12" width="7.7109375" customWidth="1"/>
    <col min="13" max="13" width="9" customWidth="1"/>
    <col min="14" max="14" width="7.28515625" customWidth="1"/>
    <col min="15" max="15" width="5.7109375" customWidth="1"/>
    <col min="16" max="16" width="4.140625" customWidth="1"/>
    <col min="17" max="17" width="3.28515625" customWidth="1"/>
    <col min="18" max="18" width="5.7109375" customWidth="1"/>
    <col min="19" max="19" width="3" customWidth="1"/>
    <col min="20" max="20" width="8.85546875" customWidth="1"/>
    <col min="21" max="21" width="14" customWidth="1"/>
    <col min="22" max="22" width="4.7109375" customWidth="1"/>
    <col min="23" max="23" width="13.5703125" customWidth="1"/>
    <col min="24" max="24" width="5.5703125" customWidth="1"/>
    <col min="25" max="25" width="6.5703125" customWidth="1"/>
  </cols>
  <sheetData>
    <row r="2" spans="1:24" x14ac:dyDescent="0.25">
      <c r="A2" s="91"/>
      <c r="B2" s="91" t="s">
        <v>168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</row>
    <row r="3" spans="1:24" x14ac:dyDescent="0.25">
      <c r="A3" s="91"/>
      <c r="B3" s="91" t="s">
        <v>169</v>
      </c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4" spans="1:24" x14ac:dyDescent="0.25">
      <c r="A4" s="91"/>
      <c r="B4" s="91" t="s">
        <v>96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</row>
    <row r="5" spans="1:24" x14ac:dyDescent="0.25">
      <c r="A5" s="91"/>
      <c r="B5" s="91" t="s">
        <v>171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</row>
    <row r="6" spans="1:24" x14ac:dyDescent="0.25">
      <c r="B6" s="3"/>
      <c r="U6" t="s">
        <v>92</v>
      </c>
      <c r="W6" t="s">
        <v>93</v>
      </c>
    </row>
    <row r="7" spans="1:24" x14ac:dyDescent="0.25">
      <c r="A7" s="3" t="s">
        <v>134</v>
      </c>
      <c r="B7" s="3" t="s">
        <v>84</v>
      </c>
      <c r="U7">
        <f>(I21+I22)*2*I23</f>
        <v>96.600000000000009</v>
      </c>
      <c r="W7">
        <f>K21*K22*K23</f>
        <v>103.73300000000002</v>
      </c>
    </row>
    <row r="8" spans="1:24" x14ac:dyDescent="0.25">
      <c r="B8" t="s">
        <v>105</v>
      </c>
      <c r="M8" s="6">
        <v>40</v>
      </c>
      <c r="N8" t="s">
        <v>57</v>
      </c>
      <c r="U8">
        <f>(K21+K22)*2*K23</f>
        <v>113.88000000000002</v>
      </c>
      <c r="W8">
        <f>I21*I22*I23</f>
        <v>77.625</v>
      </c>
    </row>
    <row r="9" spans="1:24" x14ac:dyDescent="0.25">
      <c r="B9" t="s">
        <v>106</v>
      </c>
      <c r="M9" s="6">
        <v>500</v>
      </c>
      <c r="N9" t="s">
        <v>57</v>
      </c>
      <c r="U9">
        <f>I21*I22</f>
        <v>11.25</v>
      </c>
    </row>
    <row r="10" spans="1:24" x14ac:dyDescent="0.25">
      <c r="B10" t="s">
        <v>37</v>
      </c>
      <c r="M10" s="6">
        <v>25</v>
      </c>
      <c r="N10" t="s">
        <v>4</v>
      </c>
      <c r="U10" s="26">
        <f>SUM(U7:U9)</f>
        <v>221.73000000000002</v>
      </c>
      <c r="V10" s="26" t="s">
        <v>94</v>
      </c>
      <c r="W10" s="26">
        <f>W7-W8</f>
        <v>26.108000000000018</v>
      </c>
      <c r="X10" t="s">
        <v>95</v>
      </c>
    </row>
    <row r="11" spans="1:24" x14ac:dyDescent="0.25">
      <c r="B11" t="s">
        <v>49</v>
      </c>
      <c r="M11" s="2">
        <f>ROUND(1000*0.9*6600*SQRT(M8+3.5),0)</f>
        <v>39176991</v>
      </c>
      <c r="N11" t="s">
        <v>5</v>
      </c>
      <c r="U11" s="26">
        <f>M11/10000</f>
        <v>3917.6990999999998</v>
      </c>
    </row>
    <row r="12" spans="1:24" x14ac:dyDescent="0.25">
      <c r="B12" t="s">
        <v>111</v>
      </c>
      <c r="M12" s="6">
        <v>210</v>
      </c>
      <c r="N12" t="s">
        <v>112</v>
      </c>
      <c r="U12" s="26"/>
    </row>
    <row r="13" spans="1:24" x14ac:dyDescent="0.25">
      <c r="B13" t="s">
        <v>38</v>
      </c>
      <c r="M13" s="6">
        <v>16</v>
      </c>
      <c r="N13" t="s">
        <v>4</v>
      </c>
    </row>
    <row r="14" spans="1:24" x14ac:dyDescent="0.25">
      <c r="B14" t="s">
        <v>85</v>
      </c>
      <c r="M14" s="6">
        <v>10</v>
      </c>
      <c r="N14" t="s">
        <v>4</v>
      </c>
    </row>
    <row r="15" spans="1:24" x14ac:dyDescent="0.25">
      <c r="A15" s="69"/>
      <c r="B15" s="12" t="s">
        <v>166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3">
        <v>16</v>
      </c>
      <c r="N15" s="12" t="s">
        <v>4</v>
      </c>
      <c r="O15" s="12"/>
      <c r="P15" s="12"/>
    </row>
    <row r="16" spans="1:24" x14ac:dyDescent="0.25">
      <c r="A16" s="69"/>
      <c r="B16" s="12" t="s">
        <v>167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55">
        <v>0.33</v>
      </c>
      <c r="N16" s="12"/>
      <c r="O16" s="12"/>
      <c r="P16" s="12"/>
    </row>
    <row r="17" spans="1:15" x14ac:dyDescent="0.25">
      <c r="B17" t="s">
        <v>113</v>
      </c>
      <c r="I17" s="60" t="s">
        <v>137</v>
      </c>
      <c r="M17" s="5">
        <v>0.125</v>
      </c>
      <c r="N17" t="s">
        <v>114</v>
      </c>
    </row>
    <row r="18" spans="1:15" x14ac:dyDescent="0.25">
      <c r="O18" s="5"/>
    </row>
    <row r="19" spans="1:15" x14ac:dyDescent="0.25">
      <c r="O19" s="6"/>
    </row>
    <row r="20" spans="1:15" x14ac:dyDescent="0.25">
      <c r="A20" s="3" t="s">
        <v>135</v>
      </c>
      <c r="B20" s="3" t="s">
        <v>64</v>
      </c>
      <c r="I20" s="49" t="s">
        <v>72</v>
      </c>
      <c r="K20" t="s">
        <v>73</v>
      </c>
    </row>
    <row r="21" spans="1:15" x14ac:dyDescent="0.25">
      <c r="B21" t="s">
        <v>142</v>
      </c>
      <c r="I21" s="4">
        <v>4.5</v>
      </c>
      <c r="J21" t="s">
        <v>40</v>
      </c>
      <c r="K21" s="4">
        <f>I21+2*K26</f>
        <v>4.9000000000000004</v>
      </c>
      <c r="L21" t="s">
        <v>2</v>
      </c>
    </row>
    <row r="22" spans="1:15" x14ac:dyDescent="0.25">
      <c r="B22" t="s">
        <v>65</v>
      </c>
      <c r="I22" s="4">
        <v>2.5</v>
      </c>
      <c r="J22" t="s">
        <v>40</v>
      </c>
      <c r="K22" s="4">
        <f>I22+2*K26</f>
        <v>2.9</v>
      </c>
      <c r="L22" t="s">
        <v>2</v>
      </c>
    </row>
    <row r="23" spans="1:15" x14ac:dyDescent="0.25">
      <c r="B23" t="s">
        <v>66</v>
      </c>
      <c r="I23" s="4">
        <v>6.9</v>
      </c>
      <c r="J23" t="s">
        <v>40</v>
      </c>
      <c r="K23" s="4">
        <f>I23+K24+K25</f>
        <v>7.3000000000000007</v>
      </c>
      <c r="L23" t="s">
        <v>2</v>
      </c>
    </row>
    <row r="24" spans="1:15" x14ac:dyDescent="0.25">
      <c r="B24" t="s">
        <v>39</v>
      </c>
      <c r="K24" s="4">
        <v>0.2</v>
      </c>
      <c r="L24" t="s">
        <v>40</v>
      </c>
    </row>
    <row r="25" spans="1:15" x14ac:dyDescent="0.25">
      <c r="B25" t="s">
        <v>67</v>
      </c>
      <c r="K25" s="4">
        <v>0.2</v>
      </c>
      <c r="L25" t="s">
        <v>40</v>
      </c>
    </row>
    <row r="26" spans="1:15" x14ac:dyDescent="0.25">
      <c r="B26" t="s">
        <v>68</v>
      </c>
      <c r="K26" s="4">
        <v>0.2</v>
      </c>
      <c r="L26" t="s">
        <v>40</v>
      </c>
    </row>
    <row r="27" spans="1:15" x14ac:dyDescent="0.25">
      <c r="B27" t="s">
        <v>74</v>
      </c>
      <c r="K27" s="4">
        <v>0.2</v>
      </c>
      <c r="L27" t="s">
        <v>2</v>
      </c>
    </row>
    <row r="28" spans="1:15" x14ac:dyDescent="0.25">
      <c r="L28" s="4"/>
    </row>
    <row r="29" spans="1:15" x14ac:dyDescent="0.25">
      <c r="A29" s="3" t="s">
        <v>136</v>
      </c>
      <c r="B29" s="3" t="s">
        <v>128</v>
      </c>
      <c r="L29" s="4"/>
    </row>
    <row r="31" spans="1:15" x14ac:dyDescent="0.25">
      <c r="A31" s="58" t="s">
        <v>129</v>
      </c>
      <c r="B31" s="58" t="s">
        <v>6</v>
      </c>
    </row>
    <row r="32" spans="1:15" ht="15.75" thickBot="1" x14ac:dyDescent="0.3">
      <c r="O32" s="4"/>
    </row>
    <row r="33" spans="1:22" x14ac:dyDescent="0.25">
      <c r="B33" s="16" t="s">
        <v>34</v>
      </c>
      <c r="C33" s="16"/>
      <c r="D33" s="16"/>
      <c r="E33" s="16"/>
      <c r="F33" s="16"/>
      <c r="G33" s="16"/>
      <c r="H33" s="28">
        <f>K24</f>
        <v>0.2</v>
      </c>
      <c r="I33" s="29" t="s">
        <v>0</v>
      </c>
      <c r="J33" s="28">
        <f>M10</f>
        <v>25</v>
      </c>
      <c r="K33" s="29" t="s">
        <v>1</v>
      </c>
      <c r="L33" s="16">
        <f>H33*J33</f>
        <v>5</v>
      </c>
      <c r="M33" s="16" t="s">
        <v>5</v>
      </c>
    </row>
    <row r="34" spans="1:22" x14ac:dyDescent="0.25">
      <c r="B34" t="s">
        <v>35</v>
      </c>
      <c r="K34" s="10" t="s">
        <v>1</v>
      </c>
      <c r="L34" s="4">
        <v>0.8</v>
      </c>
      <c r="M34" t="s">
        <v>5</v>
      </c>
    </row>
    <row r="35" spans="1:22" ht="15.75" thickBot="1" x14ac:dyDescent="0.3">
      <c r="B35" s="17" t="s">
        <v>58</v>
      </c>
      <c r="C35" s="17"/>
      <c r="D35" s="17"/>
      <c r="E35" s="17"/>
      <c r="F35" s="17"/>
      <c r="G35" s="17"/>
      <c r="H35" s="17"/>
      <c r="I35" s="17"/>
      <c r="J35" s="17"/>
      <c r="K35" s="18" t="s">
        <v>1</v>
      </c>
      <c r="L35" s="19">
        <v>0.5</v>
      </c>
      <c r="M35" s="17" t="s">
        <v>5</v>
      </c>
    </row>
    <row r="36" spans="1:22" ht="15.75" thickBot="1" x14ac:dyDescent="0.3">
      <c r="B36" s="30" t="s">
        <v>75</v>
      </c>
      <c r="C36" s="30"/>
      <c r="D36" s="30"/>
      <c r="E36" s="30"/>
      <c r="F36" s="30"/>
      <c r="G36" s="30"/>
      <c r="H36" s="30"/>
      <c r="I36" s="30"/>
      <c r="J36" s="31" t="s">
        <v>70</v>
      </c>
      <c r="K36" s="32" t="s">
        <v>1</v>
      </c>
      <c r="L36" s="33">
        <f>SUM(L33:L35)</f>
        <v>6.3</v>
      </c>
      <c r="M36" s="34" t="s">
        <v>5</v>
      </c>
    </row>
    <row r="37" spans="1:22" x14ac:dyDescent="0.25">
      <c r="M37" s="20"/>
      <c r="N37" s="15"/>
      <c r="O37" s="26"/>
      <c r="P37" s="21"/>
    </row>
    <row r="38" spans="1:22" ht="15.75" thickBot="1" x14ac:dyDescent="0.3">
      <c r="D38" t="s">
        <v>42</v>
      </c>
      <c r="E38" s="4">
        <f>I22+K26</f>
        <v>2.7</v>
      </c>
      <c r="F38" t="s">
        <v>2</v>
      </c>
      <c r="L38" s="3" t="s">
        <v>43</v>
      </c>
    </row>
    <row r="39" spans="1:22" x14ac:dyDescent="0.25">
      <c r="B39" s="72"/>
      <c r="C39" s="73"/>
      <c r="D39" s="73"/>
      <c r="E39" s="73"/>
      <c r="F39" s="73"/>
      <c r="G39" s="73"/>
      <c r="H39" s="73"/>
      <c r="I39" s="73"/>
      <c r="J39" s="74"/>
      <c r="L39" s="25" t="s">
        <v>56</v>
      </c>
      <c r="M39" s="4">
        <f>A43/E38</f>
        <v>1.7407407407407407</v>
      </c>
      <c r="O39" s="4"/>
    </row>
    <row r="40" spans="1:22" x14ac:dyDescent="0.25">
      <c r="B40" s="75"/>
      <c r="C40" s="76"/>
      <c r="D40" s="76"/>
      <c r="E40" s="76"/>
      <c r="F40" s="76"/>
      <c r="G40" s="76"/>
      <c r="H40" s="76"/>
      <c r="I40" s="76" t="s">
        <v>143</v>
      </c>
      <c r="J40" s="77"/>
      <c r="L40" s="25" t="s">
        <v>50</v>
      </c>
      <c r="M40" s="4">
        <v>8.9499999999999993</v>
      </c>
    </row>
    <row r="41" spans="1:22" x14ac:dyDescent="0.25">
      <c r="B41" s="75"/>
      <c r="C41" s="76"/>
      <c r="D41" s="76"/>
      <c r="E41" s="76"/>
      <c r="F41" s="76"/>
      <c r="G41" s="76"/>
      <c r="H41" s="76"/>
      <c r="I41" s="76"/>
      <c r="J41" s="77"/>
      <c r="L41" s="25" t="s">
        <v>51</v>
      </c>
      <c r="M41" s="4">
        <v>3.53</v>
      </c>
      <c r="R41" s="24"/>
      <c r="S41" s="23"/>
      <c r="T41" s="24"/>
      <c r="U41" s="10"/>
      <c r="V41" s="24"/>
    </row>
    <row r="42" spans="1:22" ht="13.5" customHeight="1" x14ac:dyDescent="0.25">
      <c r="A42" s="57" t="s">
        <v>2</v>
      </c>
      <c r="B42" s="75"/>
      <c r="C42" s="76"/>
      <c r="D42" s="76"/>
      <c r="E42" s="76"/>
      <c r="F42" s="76"/>
      <c r="G42" s="76"/>
      <c r="H42" s="76"/>
      <c r="I42" s="76"/>
      <c r="J42" s="77"/>
      <c r="L42" s="25" t="s">
        <v>52</v>
      </c>
      <c r="M42" s="4">
        <v>10.34</v>
      </c>
      <c r="R42" s="24"/>
      <c r="S42" s="23"/>
      <c r="T42" s="24"/>
      <c r="U42" s="10"/>
      <c r="V42" s="24"/>
    </row>
    <row r="43" spans="1:22" ht="25.5" customHeight="1" x14ac:dyDescent="0.25">
      <c r="A43" s="57">
        <f>I21+K26</f>
        <v>4.7</v>
      </c>
      <c r="B43" s="75"/>
      <c r="C43" s="76"/>
      <c r="D43" s="76"/>
      <c r="E43" s="76"/>
      <c r="F43" s="76" t="str">
        <f>B31</f>
        <v>LAJE DE TAMPA</v>
      </c>
      <c r="G43" s="76"/>
      <c r="H43" s="76"/>
      <c r="I43" s="76"/>
      <c r="J43" s="77"/>
      <c r="L43" s="62" t="s">
        <v>44</v>
      </c>
      <c r="R43" s="24"/>
      <c r="S43" s="23"/>
    </row>
    <row r="44" spans="1:22" ht="24" x14ac:dyDescent="0.25">
      <c r="A44" s="57" t="s">
        <v>41</v>
      </c>
      <c r="B44" s="75"/>
      <c r="C44" s="76"/>
      <c r="D44" s="76"/>
      <c r="E44" s="76"/>
      <c r="F44" s="76"/>
      <c r="G44" s="76"/>
      <c r="H44" s="76"/>
      <c r="I44" s="76"/>
      <c r="J44" s="77"/>
      <c r="L44" s="10" t="s">
        <v>45</v>
      </c>
      <c r="M44" s="98">
        <f>M40*L$36*E$38^2/100</f>
        <v>4.1104665000000002</v>
      </c>
      <c r="N44" s="10" t="s">
        <v>126</v>
      </c>
    </row>
    <row r="45" spans="1:22" x14ac:dyDescent="0.25">
      <c r="B45" s="75"/>
      <c r="C45" s="76"/>
      <c r="D45" s="76"/>
      <c r="E45" s="76"/>
      <c r="F45" s="76"/>
      <c r="G45" s="76"/>
      <c r="H45" s="76"/>
      <c r="I45" s="76"/>
      <c r="J45" s="77"/>
      <c r="L45" s="10" t="s">
        <v>46</v>
      </c>
      <c r="M45" s="98">
        <f>M41*L$36*E$38^2/100</f>
        <v>1.6212230999999999</v>
      </c>
      <c r="N45" s="10" t="s">
        <v>126</v>
      </c>
    </row>
    <row r="46" spans="1:22" x14ac:dyDescent="0.25">
      <c r="B46" s="75"/>
      <c r="C46" s="76"/>
      <c r="D46" s="76"/>
      <c r="E46" s="76"/>
      <c r="F46" s="76"/>
      <c r="G46" s="76"/>
      <c r="H46" s="76"/>
      <c r="I46" s="76"/>
      <c r="J46" s="77"/>
      <c r="L46" s="62" t="s">
        <v>138</v>
      </c>
    </row>
    <row r="47" spans="1:22" ht="18.75" thickBot="1" x14ac:dyDescent="0.4">
      <c r="B47" s="78"/>
      <c r="C47" s="79"/>
      <c r="D47" s="79"/>
      <c r="E47" s="79"/>
      <c r="F47" s="79"/>
      <c r="G47" s="79"/>
      <c r="H47" s="79"/>
      <c r="I47" s="79"/>
      <c r="J47" s="80"/>
      <c r="L47" s="10" t="s">
        <v>53</v>
      </c>
      <c r="M47" s="27">
        <f>100*M42/100*L36*E38^4/M11/K24^3</f>
        <v>1.1045746731161666E-2</v>
      </c>
      <c r="N47" s="9" t="s">
        <v>17</v>
      </c>
    </row>
    <row r="48" spans="1:22" ht="18" x14ac:dyDescent="0.35">
      <c r="B48" s="1"/>
      <c r="C48" s="1"/>
      <c r="D48" s="1"/>
      <c r="E48" s="1"/>
      <c r="F48" s="1"/>
      <c r="G48" s="1"/>
      <c r="H48" s="1"/>
      <c r="I48" s="1"/>
      <c r="J48" s="1"/>
      <c r="L48" s="24" t="s">
        <v>54</v>
      </c>
      <c r="M48" s="27">
        <f>E38*100/300</f>
        <v>0.9</v>
      </c>
      <c r="N48" s="24" t="s">
        <v>17</v>
      </c>
      <c r="P48" s="43"/>
    </row>
    <row r="49" spans="1:16" x14ac:dyDescent="0.25">
      <c r="B49" s="1"/>
      <c r="C49" s="1"/>
      <c r="D49" s="1"/>
      <c r="E49" s="1"/>
      <c r="F49" s="1"/>
      <c r="G49" s="1"/>
      <c r="H49" s="1"/>
      <c r="I49" s="1"/>
      <c r="J49" s="1"/>
      <c r="L49" s="24"/>
      <c r="M49" s="27"/>
      <c r="N49" s="24"/>
      <c r="P49" s="43"/>
    </row>
    <row r="50" spans="1:16" x14ac:dyDescent="0.25">
      <c r="B50" s="1"/>
      <c r="C50" s="1"/>
      <c r="D50" s="1"/>
      <c r="E50" s="1"/>
      <c r="F50" s="1"/>
      <c r="G50" s="1"/>
      <c r="H50" s="1"/>
      <c r="I50" s="1"/>
      <c r="J50" s="1"/>
      <c r="L50" s="24"/>
      <c r="M50" s="27"/>
      <c r="N50" s="24"/>
      <c r="P50" s="43"/>
    </row>
    <row r="51" spans="1:16" x14ac:dyDescent="0.25">
      <c r="B51" s="1"/>
      <c r="C51" s="1"/>
      <c r="D51" s="1"/>
      <c r="E51" s="1"/>
      <c r="F51" s="1"/>
      <c r="G51" s="1"/>
      <c r="H51" s="1"/>
      <c r="I51" s="1"/>
      <c r="J51" s="1"/>
      <c r="L51" s="24"/>
      <c r="M51" s="27"/>
      <c r="N51" s="24"/>
      <c r="P51" s="43"/>
    </row>
    <row r="52" spans="1:16" x14ac:dyDescent="0.25">
      <c r="B52" s="1"/>
      <c r="C52" s="1"/>
      <c r="D52" s="1"/>
      <c r="E52" s="1"/>
      <c r="F52" s="1"/>
      <c r="G52" s="1"/>
      <c r="H52" s="1"/>
      <c r="I52" s="1"/>
      <c r="J52" s="1"/>
      <c r="L52" s="24"/>
      <c r="M52" s="27"/>
      <c r="N52" s="24"/>
      <c r="P52" s="43"/>
    </row>
    <row r="53" spans="1:16" x14ac:dyDescent="0.25">
      <c r="B53" s="1"/>
      <c r="C53" s="1"/>
      <c r="D53" s="1"/>
      <c r="E53" s="1"/>
      <c r="F53" s="1"/>
      <c r="G53" s="1"/>
      <c r="H53" s="1"/>
      <c r="I53" s="1"/>
      <c r="J53" s="1"/>
      <c r="L53" s="24"/>
      <c r="M53" s="27"/>
      <c r="N53" s="24"/>
      <c r="P53" s="43"/>
    </row>
    <row r="54" spans="1:16" x14ac:dyDescent="0.25">
      <c r="B54" s="1"/>
      <c r="C54" s="1"/>
      <c r="D54" s="1"/>
      <c r="E54" s="1"/>
      <c r="F54" s="1"/>
      <c r="G54" s="1"/>
      <c r="H54" s="1"/>
      <c r="I54" s="1"/>
      <c r="J54" s="1"/>
      <c r="L54" s="24"/>
      <c r="M54" s="27"/>
      <c r="N54" s="24"/>
      <c r="P54" s="43"/>
    </row>
    <row r="55" spans="1:16" x14ac:dyDescent="0.25">
      <c r="A55" s="58" t="s">
        <v>130</v>
      </c>
      <c r="B55" t="s">
        <v>33</v>
      </c>
    </row>
    <row r="56" spans="1:16" ht="15.75" thickBot="1" x14ac:dyDescent="0.3"/>
    <row r="57" spans="1:16" x14ac:dyDescent="0.25">
      <c r="B57" s="16" t="s">
        <v>62</v>
      </c>
      <c r="C57" s="16"/>
      <c r="D57" s="16"/>
      <c r="E57" s="16"/>
      <c r="F57" s="16"/>
      <c r="G57" s="16"/>
      <c r="H57" s="16"/>
      <c r="I57" s="16"/>
      <c r="J57" s="28"/>
      <c r="K57" s="29"/>
      <c r="L57" s="28">
        <f>K21*K22*L36</f>
        <v>89.522999999999996</v>
      </c>
      <c r="M57" s="16" t="s">
        <v>36</v>
      </c>
    </row>
    <row r="58" spans="1:16" x14ac:dyDescent="0.25">
      <c r="B58" t="s">
        <v>63</v>
      </c>
      <c r="K58" s="10"/>
      <c r="L58" s="4">
        <f>(K21*K22-I21*I22)*I23*M10</f>
        <v>510.60000000000014</v>
      </c>
      <c r="M58" t="s">
        <v>36</v>
      </c>
    </row>
    <row r="59" spans="1:16" ht="15.75" thickBot="1" x14ac:dyDescent="0.3">
      <c r="B59" t="s">
        <v>69</v>
      </c>
      <c r="J59" s="4"/>
      <c r="K59" s="10"/>
      <c r="L59" s="4">
        <f>((I21-K27/2) +(I22-K27/2))*K27^2*M10</f>
        <v>6.8000000000000016</v>
      </c>
      <c r="M59" t="s">
        <v>36</v>
      </c>
    </row>
    <row r="60" spans="1:16" ht="15.75" thickBot="1" x14ac:dyDescent="0.3">
      <c r="B60" s="30" t="s">
        <v>61</v>
      </c>
      <c r="C60" s="30"/>
      <c r="D60" s="30"/>
      <c r="E60" s="30"/>
      <c r="F60" s="30"/>
      <c r="G60" s="30"/>
      <c r="H60" s="30"/>
      <c r="I60" s="30"/>
      <c r="J60" s="31" t="s">
        <v>71</v>
      </c>
      <c r="K60" s="32" t="s">
        <v>1</v>
      </c>
      <c r="L60" s="33">
        <f>(L57+L58+L59)/K21/K22</f>
        <v>42.710978184377204</v>
      </c>
      <c r="M60" s="34" t="s">
        <v>5</v>
      </c>
    </row>
    <row r="61" spans="1:16" x14ac:dyDescent="0.25">
      <c r="O61" s="4"/>
    </row>
    <row r="62" spans="1:16" ht="15.75" thickBot="1" x14ac:dyDescent="0.3">
      <c r="D62" t="s">
        <v>42</v>
      </c>
      <c r="E62" s="4">
        <f>I22+K26</f>
        <v>2.7</v>
      </c>
      <c r="F62" t="s">
        <v>2</v>
      </c>
      <c r="L62" s="3" t="s">
        <v>43</v>
      </c>
    </row>
    <row r="63" spans="1:16" ht="15.75" thickTop="1" x14ac:dyDescent="0.25">
      <c r="B63" s="81"/>
      <c r="C63" s="82"/>
      <c r="D63" s="82"/>
      <c r="E63" s="82"/>
      <c r="F63" s="82"/>
      <c r="G63" s="82"/>
      <c r="H63" s="82"/>
      <c r="I63" s="82"/>
      <c r="J63" s="83"/>
      <c r="L63" s="25" t="s">
        <v>56</v>
      </c>
      <c r="M63" s="4">
        <f>A67/E62</f>
        <v>1.7407407407407407</v>
      </c>
      <c r="N63">
        <f>A67/E62</f>
        <v>1.7407407407407407</v>
      </c>
      <c r="O63" s="4"/>
    </row>
    <row r="64" spans="1:16" x14ac:dyDescent="0.25">
      <c r="B64" s="84"/>
      <c r="C64" s="76"/>
      <c r="D64" s="76"/>
      <c r="E64" s="76"/>
      <c r="F64" s="76"/>
      <c r="G64" s="76"/>
      <c r="H64" s="76"/>
      <c r="I64" s="76" t="s">
        <v>144</v>
      </c>
      <c r="J64" s="85"/>
      <c r="L64" s="25" t="s">
        <v>50</v>
      </c>
      <c r="M64">
        <v>3.88</v>
      </c>
      <c r="N64" s="4">
        <v>8.9499999999999993</v>
      </c>
      <c r="O64" s="4"/>
    </row>
    <row r="65" spans="1:22" x14ac:dyDescent="0.25">
      <c r="B65" s="84"/>
      <c r="C65" s="76"/>
      <c r="D65" s="76"/>
      <c r="E65" s="76"/>
      <c r="F65" s="76"/>
      <c r="G65" s="76"/>
      <c r="H65" s="76"/>
      <c r="I65" s="76"/>
      <c r="J65" s="85"/>
      <c r="L65" s="25" t="s">
        <v>59</v>
      </c>
      <c r="M65">
        <v>8.0500000000000007</v>
      </c>
      <c r="O65" s="4"/>
      <c r="R65" s="24"/>
      <c r="S65" s="23"/>
      <c r="T65" s="24"/>
      <c r="U65" s="10"/>
      <c r="V65" s="24"/>
    </row>
    <row r="66" spans="1:22" x14ac:dyDescent="0.25">
      <c r="A66" s="57" t="s">
        <v>2</v>
      </c>
      <c r="B66" s="84"/>
      <c r="C66" s="76"/>
      <c r="D66" s="76"/>
      <c r="E66" s="76"/>
      <c r="F66" s="76"/>
      <c r="G66" s="76"/>
      <c r="H66" s="76"/>
      <c r="I66" s="76"/>
      <c r="J66" s="85"/>
      <c r="L66" s="25" t="s">
        <v>51</v>
      </c>
      <c r="M66">
        <v>1.17</v>
      </c>
      <c r="N66" s="4">
        <v>3.53</v>
      </c>
      <c r="R66" s="24"/>
      <c r="S66" s="23"/>
      <c r="T66" s="24"/>
      <c r="U66" s="10"/>
      <c r="V66" s="24"/>
    </row>
    <row r="67" spans="1:22" ht="25.5" x14ac:dyDescent="0.25">
      <c r="A67" s="57">
        <f>I21+K26</f>
        <v>4.7</v>
      </c>
      <c r="B67" s="84"/>
      <c r="C67" s="104" t="str">
        <f>B55</f>
        <v>LAJE DE FUNDO</v>
      </c>
      <c r="D67" s="104"/>
      <c r="E67" s="104"/>
      <c r="F67" s="104"/>
      <c r="G67" s="104"/>
      <c r="H67" s="104"/>
      <c r="I67" s="104"/>
      <c r="J67" s="85"/>
      <c r="L67" s="25" t="s">
        <v>60</v>
      </c>
      <c r="M67">
        <v>5.72</v>
      </c>
      <c r="R67" s="24"/>
      <c r="S67" s="23"/>
    </row>
    <row r="68" spans="1:22" ht="24" x14ac:dyDescent="0.25">
      <c r="A68" s="57" t="s">
        <v>41</v>
      </c>
      <c r="B68" s="84"/>
      <c r="C68" s="76"/>
      <c r="D68" s="76"/>
      <c r="E68" s="76"/>
      <c r="F68" s="76"/>
      <c r="G68" s="76"/>
      <c r="H68" s="76"/>
      <c r="I68" s="76"/>
      <c r="J68" s="85"/>
      <c r="L68" s="25" t="s">
        <v>52</v>
      </c>
      <c r="M68">
        <v>2.81</v>
      </c>
      <c r="N68">
        <v>10.34</v>
      </c>
    </row>
    <row r="69" spans="1:22" x14ac:dyDescent="0.25">
      <c r="B69" s="84"/>
      <c r="C69" s="76"/>
      <c r="D69" s="76"/>
      <c r="E69" s="76"/>
      <c r="F69" s="76"/>
      <c r="G69" s="76"/>
      <c r="H69" s="76"/>
      <c r="I69" s="76"/>
      <c r="J69" s="85"/>
      <c r="L69" s="62" t="s">
        <v>44</v>
      </c>
    </row>
    <row r="70" spans="1:22" x14ac:dyDescent="0.25">
      <c r="B70" s="84"/>
      <c r="C70" s="76"/>
      <c r="D70" s="76"/>
      <c r="E70" s="76"/>
      <c r="F70" s="76"/>
      <c r="G70" s="76"/>
      <c r="H70" s="76"/>
      <c r="I70" s="76"/>
      <c r="J70" s="85"/>
      <c r="L70" s="10" t="s">
        <v>45</v>
      </c>
      <c r="M70" s="27">
        <f>M64*L$60*E$62^2/100</f>
        <v>12.080885601407463</v>
      </c>
      <c r="N70" s="97">
        <f>N64*L60*E62^2/100</f>
        <v>27.86699127128783</v>
      </c>
      <c r="O70" t="s">
        <v>126</v>
      </c>
    </row>
    <row r="71" spans="1:22" ht="15.75" thickBot="1" x14ac:dyDescent="0.3">
      <c r="B71" s="86"/>
      <c r="C71" s="87"/>
      <c r="D71" s="87"/>
      <c r="E71" s="87"/>
      <c r="F71" s="87"/>
      <c r="G71" s="87"/>
      <c r="H71" s="87"/>
      <c r="I71" s="87"/>
      <c r="J71" s="88"/>
      <c r="L71" s="14" t="s">
        <v>76</v>
      </c>
      <c r="M71" s="98">
        <f>M65*L$60*E$62^2/100</f>
        <v>25.064723992610844</v>
      </c>
      <c r="N71" s="93">
        <v>0</v>
      </c>
      <c r="O71" t="s">
        <v>126</v>
      </c>
    </row>
    <row r="72" spans="1:22" ht="15.75" thickTop="1" x14ac:dyDescent="0.25">
      <c r="B72" s="1"/>
      <c r="C72" s="1"/>
      <c r="D72" s="1"/>
      <c r="E72" s="1"/>
      <c r="F72" s="1"/>
      <c r="G72" s="1"/>
      <c r="H72" s="1"/>
      <c r="I72" s="1"/>
      <c r="J72" s="1"/>
      <c r="L72" s="14" t="s">
        <v>46</v>
      </c>
      <c r="M72" s="42">
        <f>M66*L$60*E$62^2/100</f>
        <v>3.6429474622800853</v>
      </c>
      <c r="N72" s="97">
        <f>N66*L60*E62^2/100</f>
        <v>10.991114993033078</v>
      </c>
      <c r="O72" t="s">
        <v>126</v>
      </c>
    </row>
    <row r="73" spans="1:22" x14ac:dyDescent="0.25">
      <c r="B73" s="1"/>
      <c r="C73" s="1"/>
      <c r="D73" s="1"/>
      <c r="E73" s="1"/>
      <c r="F73" s="1"/>
      <c r="G73" s="1"/>
      <c r="H73" s="1"/>
      <c r="I73" s="1"/>
      <c r="J73" s="1"/>
      <c r="L73" s="14" t="s">
        <v>77</v>
      </c>
      <c r="M73" s="98">
        <f>M67*L$60*E$62^2/100</f>
        <v>17.809965371147083</v>
      </c>
      <c r="N73" s="93">
        <v>0</v>
      </c>
      <c r="O73" t="s">
        <v>126</v>
      </c>
    </row>
    <row r="74" spans="1:22" x14ac:dyDescent="0.25">
      <c r="B74" s="1"/>
      <c r="C74" s="1"/>
      <c r="D74" s="1"/>
      <c r="E74" s="1"/>
      <c r="F74" s="1"/>
      <c r="G74" s="1"/>
      <c r="H74" s="1"/>
      <c r="I74" s="1"/>
      <c r="J74" s="1"/>
      <c r="L74" s="3" t="s">
        <v>138</v>
      </c>
    </row>
    <row r="75" spans="1:22" ht="18" x14ac:dyDescent="0.35">
      <c r="B75" s="1"/>
      <c r="C75" s="1"/>
      <c r="D75" s="1"/>
      <c r="E75" s="1"/>
      <c r="F75" s="1"/>
      <c r="G75" s="1"/>
      <c r="H75" s="1"/>
      <c r="I75" s="1"/>
      <c r="J75" s="1"/>
      <c r="L75" s="10" t="s">
        <v>53</v>
      </c>
      <c r="M75" s="27">
        <f>100*M68/100*L60*E62^4/M11/K25^3</f>
        <v>2.0350722420835909E-2</v>
      </c>
      <c r="N75" s="27">
        <f>100*N68/100*L60*E62^4/M11/K25^3</f>
        <v>7.4884864708698692E-2</v>
      </c>
      <c r="O75" t="s">
        <v>17</v>
      </c>
    </row>
    <row r="76" spans="1:22" ht="18" x14ac:dyDescent="0.35">
      <c r="B76" s="1"/>
      <c r="C76" s="1"/>
      <c r="D76" s="1"/>
      <c r="E76" s="1"/>
      <c r="F76" s="1"/>
      <c r="G76" s="1"/>
      <c r="H76" s="1"/>
      <c r="I76" s="1"/>
      <c r="J76" s="1"/>
      <c r="L76" s="24" t="s">
        <v>54</v>
      </c>
      <c r="M76" s="27">
        <f>E62*100/300</f>
        <v>0.9</v>
      </c>
      <c r="N76" s="61" t="s">
        <v>17</v>
      </c>
    </row>
    <row r="77" spans="1:22" x14ac:dyDescent="0.25">
      <c r="A77" s="58" t="s">
        <v>131</v>
      </c>
      <c r="B77" t="s">
        <v>81</v>
      </c>
    </row>
    <row r="78" spans="1:22" ht="15.75" thickBot="1" x14ac:dyDescent="0.3">
      <c r="K78" s="4"/>
      <c r="L78" s="36"/>
      <c r="M78" s="4"/>
      <c r="N78" s="36"/>
      <c r="O78" s="4"/>
    </row>
    <row r="79" spans="1:22" ht="15.75" thickBot="1" x14ac:dyDescent="0.3">
      <c r="B79" s="30" t="s">
        <v>82</v>
      </c>
      <c r="C79" s="30"/>
      <c r="D79" s="30"/>
      <c r="E79" s="30"/>
      <c r="F79" s="30"/>
      <c r="G79" s="30"/>
      <c r="H79" s="30"/>
      <c r="I79" s="30"/>
      <c r="J79" s="31" t="s">
        <v>83</v>
      </c>
      <c r="K79" s="32" t="s">
        <v>1</v>
      </c>
      <c r="L79" s="33">
        <f>(M14-M15*M16)*E81</f>
        <v>33.511999999999993</v>
      </c>
      <c r="M79" s="34" t="s">
        <v>5</v>
      </c>
    </row>
    <row r="80" spans="1:22" x14ac:dyDescent="0.25">
      <c r="O80" s="4"/>
    </row>
    <row r="81" spans="1:22" ht="15.75" thickBot="1" x14ac:dyDescent="0.3">
      <c r="D81" t="s">
        <v>86</v>
      </c>
      <c r="E81" s="4">
        <f>I23+K24/2+K25/2</f>
        <v>7.1</v>
      </c>
      <c r="F81" t="s">
        <v>2</v>
      </c>
      <c r="L81" s="3" t="s">
        <v>140</v>
      </c>
    </row>
    <row r="82" spans="1:22" ht="15.75" thickTop="1" x14ac:dyDescent="0.25">
      <c r="B82" s="89"/>
      <c r="C82" s="82"/>
      <c r="D82" s="82"/>
      <c r="E82" s="82"/>
      <c r="F82" s="82"/>
      <c r="G82" s="82"/>
      <c r="H82" s="82"/>
      <c r="I82" s="82"/>
      <c r="J82" s="83"/>
      <c r="L82" s="25" t="s">
        <v>88</v>
      </c>
      <c r="M82" s="4">
        <f>E81/A86</f>
        <v>2.6296296296296293</v>
      </c>
      <c r="O82" s="4"/>
    </row>
    <row r="83" spans="1:22" x14ac:dyDescent="0.25">
      <c r="B83" s="75"/>
      <c r="C83" s="76"/>
      <c r="D83" s="76"/>
      <c r="E83" s="76"/>
      <c r="F83" s="76"/>
      <c r="G83" s="76"/>
      <c r="H83" s="76"/>
      <c r="I83" s="76" t="s">
        <v>145</v>
      </c>
      <c r="J83" s="85"/>
      <c r="L83" s="25" t="s">
        <v>50</v>
      </c>
      <c r="M83" s="4">
        <v>1.1200000000000001</v>
      </c>
      <c r="O83" s="4"/>
    </row>
    <row r="84" spans="1:22" x14ac:dyDescent="0.25">
      <c r="B84" s="75"/>
      <c r="C84" s="76"/>
      <c r="D84" s="76"/>
      <c r="E84" s="76"/>
      <c r="F84" s="76"/>
      <c r="G84" s="76"/>
      <c r="H84" s="76"/>
      <c r="I84" s="76"/>
      <c r="J84" s="85"/>
      <c r="L84" s="25" t="s">
        <v>59</v>
      </c>
      <c r="M84" s="4">
        <v>0</v>
      </c>
      <c r="R84" s="24"/>
      <c r="S84" s="23"/>
      <c r="T84" s="24"/>
      <c r="U84" s="36"/>
      <c r="V84" s="24"/>
    </row>
    <row r="85" spans="1:22" x14ac:dyDescent="0.25">
      <c r="A85" s="57" t="s">
        <v>2</v>
      </c>
      <c r="B85" s="75"/>
      <c r="C85" s="76"/>
      <c r="D85" s="76"/>
      <c r="E85" s="76"/>
      <c r="F85" s="76"/>
      <c r="G85" s="76"/>
      <c r="H85" s="76"/>
      <c r="I85" s="76"/>
      <c r="J85" s="85"/>
      <c r="L85" s="25" t="s">
        <v>51</v>
      </c>
      <c r="M85" s="4">
        <v>2.58</v>
      </c>
      <c r="R85" s="24"/>
      <c r="S85" s="23"/>
      <c r="T85" s="24"/>
      <c r="U85" s="36"/>
      <c r="V85" s="24"/>
    </row>
    <row r="86" spans="1:22" ht="26.25" customHeight="1" x14ac:dyDescent="0.25">
      <c r="A86" s="57">
        <f>I22+K26</f>
        <v>2.7</v>
      </c>
      <c r="B86" s="75"/>
      <c r="C86" s="104" t="str">
        <f>B77</f>
        <v>LAJE PAREDE "X"</v>
      </c>
      <c r="D86" s="104"/>
      <c r="E86" s="104"/>
      <c r="F86" s="104"/>
      <c r="G86" s="104"/>
      <c r="H86" s="104"/>
      <c r="I86" s="104"/>
      <c r="J86" s="85"/>
      <c r="L86" s="25" t="s">
        <v>89</v>
      </c>
      <c r="M86" s="4">
        <v>5.72</v>
      </c>
      <c r="R86" s="24" t="s">
        <v>170</v>
      </c>
      <c r="S86" s="23"/>
    </row>
    <row r="87" spans="1:22" ht="24.75" x14ac:dyDescent="0.25">
      <c r="A87" s="57" t="s">
        <v>87</v>
      </c>
      <c r="B87" s="75"/>
      <c r="C87" s="76"/>
      <c r="D87" s="76"/>
      <c r="E87" s="76"/>
      <c r="F87" s="76"/>
      <c r="G87" s="76"/>
      <c r="H87" s="76"/>
      <c r="I87" s="76"/>
      <c r="J87" s="85"/>
      <c r="L87" s="25" t="s">
        <v>52</v>
      </c>
      <c r="M87" s="55">
        <v>1.92</v>
      </c>
    </row>
    <row r="88" spans="1:22" x14ac:dyDescent="0.25">
      <c r="B88" s="75"/>
      <c r="C88" s="76"/>
      <c r="D88" s="76"/>
      <c r="E88" s="76"/>
      <c r="F88" s="76"/>
      <c r="G88" s="76"/>
      <c r="H88" s="76"/>
      <c r="I88" s="76"/>
      <c r="J88" s="85"/>
      <c r="L88" s="62" t="s">
        <v>44</v>
      </c>
    </row>
    <row r="89" spans="1:22" x14ac:dyDescent="0.25">
      <c r="B89" s="75"/>
      <c r="C89" s="76"/>
      <c r="D89" s="76"/>
      <c r="E89" s="76"/>
      <c r="F89" s="76"/>
      <c r="G89" s="76"/>
      <c r="H89" s="76"/>
      <c r="I89" s="76"/>
      <c r="J89" s="85"/>
      <c r="L89" s="36" t="s">
        <v>119</v>
      </c>
      <c r="M89" s="98">
        <f>M83*L$79*A$86^2/100</f>
        <v>2.7361877760000004</v>
      </c>
      <c r="N89" s="36" t="s">
        <v>126</v>
      </c>
    </row>
    <row r="90" spans="1:22" ht="15.75" thickBot="1" x14ac:dyDescent="0.3">
      <c r="B90" s="90"/>
      <c r="C90" s="87"/>
      <c r="D90" s="87"/>
      <c r="E90" s="87"/>
      <c r="F90" s="87"/>
      <c r="G90" s="87"/>
      <c r="H90" s="87"/>
      <c r="I90" s="87"/>
      <c r="J90" s="88"/>
      <c r="L90" s="14" t="s">
        <v>120</v>
      </c>
      <c r="M90" s="42">
        <f t="shared" ref="M90:M92" si="0">M84*L$79*A$86^2/100</f>
        <v>0</v>
      </c>
      <c r="N90" s="14" t="s">
        <v>126</v>
      </c>
    </row>
    <row r="91" spans="1:22" ht="15.75" thickTop="1" x14ac:dyDescent="0.25">
      <c r="B91" s="1"/>
      <c r="C91" s="1"/>
      <c r="D91" s="1"/>
      <c r="E91" s="1"/>
      <c r="F91" s="1"/>
      <c r="G91" s="1"/>
      <c r="H91" s="1"/>
      <c r="I91" s="1"/>
      <c r="J91" s="1"/>
      <c r="L91" s="14" t="s">
        <v>121</v>
      </c>
      <c r="M91" s="98">
        <f t="shared" si="0"/>
        <v>6.3030039839999992</v>
      </c>
      <c r="N91" s="14" t="s">
        <v>126</v>
      </c>
    </row>
    <row r="92" spans="1:22" x14ac:dyDescent="0.25">
      <c r="B92" s="38"/>
      <c r="C92" s="38"/>
      <c r="D92" s="38"/>
      <c r="E92" s="38"/>
      <c r="F92" s="38"/>
      <c r="G92" s="38"/>
      <c r="H92" s="38"/>
      <c r="I92" s="38"/>
      <c r="J92" s="39"/>
      <c r="L92" s="14" t="s">
        <v>122</v>
      </c>
      <c r="M92" s="98">
        <f t="shared" si="0"/>
        <v>13.974101855999999</v>
      </c>
      <c r="N92" s="14" t="s">
        <v>126</v>
      </c>
    </row>
    <row r="93" spans="1:22" x14ac:dyDescent="0.25">
      <c r="B93" s="1"/>
      <c r="C93" s="1"/>
      <c r="E93" s="40"/>
      <c r="I93" s="1"/>
      <c r="J93" s="37"/>
      <c r="L93" s="3" t="s">
        <v>138</v>
      </c>
    </row>
    <row r="94" spans="1:22" ht="18" x14ac:dyDescent="0.35">
      <c r="B94" s="1"/>
      <c r="C94" s="1"/>
      <c r="E94" s="1"/>
      <c r="I94" s="1"/>
      <c r="J94" s="1"/>
      <c r="L94" s="36" t="s">
        <v>53</v>
      </c>
      <c r="M94" s="27">
        <f>100*M87/100*L79*E81^4/M11/K26^3</f>
        <v>0.52169167581369358</v>
      </c>
      <c r="N94" s="9" t="s">
        <v>17</v>
      </c>
    </row>
    <row r="95" spans="1:22" ht="18" x14ac:dyDescent="0.35">
      <c r="B95" s="1"/>
      <c r="C95" s="1"/>
      <c r="E95" s="1"/>
      <c r="I95" s="1"/>
      <c r="J95" s="1"/>
      <c r="L95" s="24" t="s">
        <v>54</v>
      </c>
      <c r="M95" s="27">
        <f>E81*100/300</f>
        <v>2.3666666666666667</v>
      </c>
      <c r="N95" s="9" t="s">
        <v>17</v>
      </c>
    </row>
    <row r="96" spans="1:22" x14ac:dyDescent="0.25">
      <c r="B96" s="1"/>
      <c r="C96" s="1"/>
      <c r="E96" s="1"/>
      <c r="I96" s="1"/>
      <c r="J96" s="1"/>
      <c r="L96" s="24"/>
      <c r="M96" s="27"/>
      <c r="N96" s="9"/>
    </row>
    <row r="97" spans="1:22" x14ac:dyDescent="0.25">
      <c r="B97" s="1"/>
      <c r="C97" s="1"/>
      <c r="E97" s="1"/>
      <c r="I97" s="1"/>
      <c r="J97" s="1"/>
      <c r="L97" s="24"/>
      <c r="M97" s="27"/>
      <c r="N97" s="9"/>
    </row>
    <row r="98" spans="1:22" x14ac:dyDescent="0.25">
      <c r="B98" s="1"/>
      <c r="C98" s="1"/>
      <c r="E98" s="1"/>
      <c r="I98" s="1"/>
      <c r="J98" s="1"/>
      <c r="L98" s="24"/>
      <c r="M98" s="27"/>
      <c r="N98" s="9"/>
    </row>
    <row r="99" spans="1:22" x14ac:dyDescent="0.25">
      <c r="B99" s="1"/>
      <c r="C99" s="1"/>
      <c r="E99" s="1"/>
      <c r="I99" s="1"/>
      <c r="J99" s="1"/>
    </row>
    <row r="100" spans="1:22" x14ac:dyDescent="0.25">
      <c r="A100" s="58" t="s">
        <v>132</v>
      </c>
      <c r="B100" t="s">
        <v>90</v>
      </c>
      <c r="J100" s="1"/>
      <c r="L100" s="22"/>
      <c r="M100" s="4"/>
      <c r="P100" s="35"/>
    </row>
    <row r="101" spans="1:22" ht="15.75" thickBot="1" x14ac:dyDescent="0.3"/>
    <row r="102" spans="1:22" ht="15.75" thickBot="1" x14ac:dyDescent="0.3">
      <c r="B102" s="30" t="s">
        <v>82</v>
      </c>
      <c r="C102" s="30"/>
      <c r="D102" s="30"/>
      <c r="E102" s="30"/>
      <c r="F102" s="30"/>
      <c r="G102" s="30"/>
      <c r="H102" s="30"/>
      <c r="I102" s="30"/>
      <c r="J102" s="31" t="s">
        <v>83</v>
      </c>
      <c r="K102" s="32" t="s">
        <v>1</v>
      </c>
      <c r="L102" s="33">
        <f>L79</f>
        <v>33.511999999999993</v>
      </c>
      <c r="M102" s="34" t="s">
        <v>5</v>
      </c>
    </row>
    <row r="103" spans="1:22" x14ac:dyDescent="0.25">
      <c r="O103" s="4"/>
    </row>
    <row r="104" spans="1:22" ht="15.75" thickBot="1" x14ac:dyDescent="0.3">
      <c r="D104" t="s">
        <v>91</v>
      </c>
      <c r="E104" s="4">
        <f>I23+K24/2+K25/2</f>
        <v>7.1</v>
      </c>
      <c r="F104" t="s">
        <v>2</v>
      </c>
    </row>
    <row r="105" spans="1:22" ht="15.75" thickTop="1" x14ac:dyDescent="0.25">
      <c r="B105" s="89"/>
      <c r="C105" s="82"/>
      <c r="D105" s="82"/>
      <c r="E105" s="82"/>
      <c r="F105" s="82"/>
      <c r="G105" s="82"/>
      <c r="H105" s="82"/>
      <c r="I105" s="82"/>
      <c r="J105" s="83"/>
      <c r="L105" s="3" t="s">
        <v>43</v>
      </c>
      <c r="O105" s="4"/>
    </row>
    <row r="106" spans="1:22" x14ac:dyDescent="0.25">
      <c r="B106" s="75"/>
      <c r="C106" s="76"/>
      <c r="D106" s="76"/>
      <c r="E106" s="76"/>
      <c r="F106" s="76"/>
      <c r="G106" s="76"/>
      <c r="H106" s="76"/>
      <c r="I106" s="76" t="s">
        <v>145</v>
      </c>
      <c r="J106" s="85"/>
      <c r="L106" s="25" t="s">
        <v>88</v>
      </c>
      <c r="M106" s="55">
        <f>E104/A109</f>
        <v>1.5106382978723403</v>
      </c>
      <c r="N106" s="103"/>
      <c r="O106" s="103"/>
    </row>
    <row r="107" spans="1:22" x14ac:dyDescent="0.25">
      <c r="B107" s="75"/>
      <c r="C107" s="76"/>
      <c r="D107" s="76"/>
      <c r="E107" s="76"/>
      <c r="F107" s="76"/>
      <c r="G107" s="76"/>
      <c r="H107" s="76"/>
      <c r="I107" s="76"/>
      <c r="J107" s="85"/>
      <c r="L107" s="25" t="s">
        <v>50</v>
      </c>
      <c r="M107" s="12">
        <v>1.44</v>
      </c>
      <c r="R107" s="24"/>
      <c r="S107" s="23"/>
      <c r="T107" s="24"/>
      <c r="U107" s="36"/>
      <c r="V107" s="24"/>
    </row>
    <row r="108" spans="1:22" x14ac:dyDescent="0.25">
      <c r="A108" s="57" t="s">
        <v>2</v>
      </c>
      <c r="B108" s="75"/>
      <c r="C108" s="76"/>
      <c r="D108" s="76"/>
      <c r="E108" s="76"/>
      <c r="F108" s="76"/>
      <c r="G108" s="76"/>
      <c r="H108" s="76"/>
      <c r="I108" s="76"/>
      <c r="J108" s="85"/>
      <c r="L108" s="25" t="s">
        <v>59</v>
      </c>
      <c r="M108" s="55">
        <v>0</v>
      </c>
      <c r="R108" s="24"/>
      <c r="S108" s="23"/>
      <c r="T108" s="24"/>
      <c r="U108" s="36"/>
      <c r="V108" s="24"/>
    </row>
    <row r="109" spans="1:22" ht="26.25" customHeight="1" x14ac:dyDescent="0.25">
      <c r="A109" s="57">
        <f>I21+K26</f>
        <v>4.7</v>
      </c>
      <c r="B109" s="75"/>
      <c r="C109" s="104" t="str">
        <f>B100</f>
        <v>LAJE PAREDE "Y"</v>
      </c>
      <c r="D109" s="104"/>
      <c r="E109" s="104"/>
      <c r="F109" s="104"/>
      <c r="G109" s="104"/>
      <c r="H109" s="104"/>
      <c r="I109" s="104"/>
      <c r="J109" s="85"/>
      <c r="L109" s="25" t="s">
        <v>51</v>
      </c>
      <c r="M109" s="12">
        <v>2.3199999999999998</v>
      </c>
      <c r="R109" s="24"/>
      <c r="S109" s="23"/>
    </row>
    <row r="110" spans="1:22" ht="24.75" x14ac:dyDescent="0.25">
      <c r="A110" s="57" t="s">
        <v>87</v>
      </c>
      <c r="B110" s="75"/>
      <c r="C110" s="76"/>
      <c r="D110" s="76"/>
      <c r="E110" s="76"/>
      <c r="F110" s="76"/>
      <c r="G110" s="76"/>
      <c r="H110" s="76"/>
      <c r="I110" s="76"/>
      <c r="J110" s="85"/>
      <c r="L110" s="25" t="s">
        <v>89</v>
      </c>
      <c r="M110" s="12">
        <v>4.82</v>
      </c>
    </row>
    <row r="111" spans="1:22" x14ac:dyDescent="0.25">
      <c r="B111" s="75"/>
      <c r="C111" s="76"/>
      <c r="D111" s="76"/>
      <c r="E111" s="76"/>
      <c r="F111" s="76"/>
      <c r="G111" s="76"/>
      <c r="H111" s="76"/>
      <c r="I111" s="76"/>
      <c r="J111" s="85"/>
      <c r="L111" s="25" t="s">
        <v>52</v>
      </c>
      <c r="M111" s="12">
        <v>1.62</v>
      </c>
    </row>
    <row r="112" spans="1:22" x14ac:dyDescent="0.25">
      <c r="B112" s="75"/>
      <c r="C112" s="76"/>
      <c r="D112" s="76"/>
      <c r="E112" s="76"/>
      <c r="F112" s="76"/>
      <c r="G112" s="76"/>
      <c r="H112" s="76"/>
      <c r="I112" s="76"/>
      <c r="J112" s="85"/>
      <c r="L112" s="62" t="s">
        <v>44</v>
      </c>
    </row>
    <row r="113" spans="1:16" ht="15.75" thickBot="1" x14ac:dyDescent="0.3">
      <c r="B113" s="90"/>
      <c r="C113" s="87"/>
      <c r="D113" s="87"/>
      <c r="E113" s="87"/>
      <c r="F113" s="87"/>
      <c r="G113" s="87"/>
      <c r="H113" s="87"/>
      <c r="I113" s="87"/>
      <c r="J113" s="88"/>
      <c r="L113" s="36" t="s">
        <v>119</v>
      </c>
      <c r="M113" s="98">
        <f>M107*L$102*A$109^2/100</f>
        <v>10.660033151999999</v>
      </c>
      <c r="N113" s="36" t="s">
        <v>126</v>
      </c>
    </row>
    <row r="114" spans="1:16" ht="15.75" thickTop="1" x14ac:dyDescent="0.25">
      <c r="B114" s="1"/>
      <c r="C114" s="1"/>
      <c r="D114" s="1"/>
      <c r="E114" s="1"/>
      <c r="F114" s="1"/>
      <c r="G114" s="1"/>
      <c r="H114" s="1"/>
      <c r="I114" s="1"/>
      <c r="J114" s="1"/>
      <c r="L114" s="14" t="s">
        <v>120</v>
      </c>
      <c r="M114" s="42">
        <f t="shared" ref="M114:M116" si="1">M108*L$102*A$109^2/100</f>
        <v>0</v>
      </c>
      <c r="N114" s="14" t="s">
        <v>126</v>
      </c>
    </row>
    <row r="115" spans="1:16" x14ac:dyDescent="0.25">
      <c r="B115" s="38"/>
      <c r="C115" s="38"/>
      <c r="D115" s="38"/>
      <c r="E115" s="38"/>
      <c r="F115" s="38"/>
      <c r="G115" s="38"/>
      <c r="H115" s="38"/>
      <c r="I115" s="38"/>
      <c r="J115" s="39"/>
      <c r="L115" s="14" t="s">
        <v>127</v>
      </c>
      <c r="M115" s="98">
        <f t="shared" si="1"/>
        <v>17.174497855999999</v>
      </c>
      <c r="N115" s="14" t="s">
        <v>126</v>
      </c>
    </row>
    <row r="116" spans="1:16" x14ac:dyDescent="0.25">
      <c r="B116" s="1"/>
      <c r="C116" s="1"/>
      <c r="E116" s="40"/>
      <c r="I116" s="1"/>
      <c r="J116" s="37"/>
      <c r="L116" s="14" t="s">
        <v>122</v>
      </c>
      <c r="M116" s="98">
        <f t="shared" si="1"/>
        <v>35.681499856000002</v>
      </c>
      <c r="N116" s="14" t="s">
        <v>126</v>
      </c>
    </row>
    <row r="117" spans="1:16" x14ac:dyDescent="0.25">
      <c r="B117" s="1"/>
      <c r="C117" s="1"/>
      <c r="E117" s="1"/>
      <c r="I117" s="1"/>
      <c r="J117" s="1"/>
      <c r="K117" s="1"/>
      <c r="L117" s="3" t="s">
        <v>138</v>
      </c>
    </row>
    <row r="118" spans="1:16" ht="18" x14ac:dyDescent="0.35">
      <c r="B118" s="1"/>
      <c r="C118" s="1"/>
      <c r="E118" s="1"/>
      <c r="I118" s="1"/>
      <c r="J118" s="1"/>
      <c r="K118" s="1"/>
      <c r="L118" s="36" t="s">
        <v>53</v>
      </c>
      <c r="M118" s="41">
        <f>100*M111/100*L102*E104^4/M11/K26^3</f>
        <v>0.4401773514678039</v>
      </c>
      <c r="N118" s="9" t="s">
        <v>17</v>
      </c>
    </row>
    <row r="119" spans="1:16" ht="18" x14ac:dyDescent="0.35">
      <c r="B119" s="1"/>
      <c r="C119" s="1"/>
      <c r="E119" s="1"/>
      <c r="I119" s="1"/>
      <c r="J119" s="1"/>
      <c r="K119" s="1"/>
      <c r="L119" s="24" t="s">
        <v>54</v>
      </c>
      <c r="M119" s="93">
        <f>E104*100/300</f>
        <v>2.3666666666666667</v>
      </c>
      <c r="N119" s="61" t="s">
        <v>17</v>
      </c>
    </row>
    <row r="120" spans="1:16" x14ac:dyDescent="0.25">
      <c r="B120" s="1"/>
      <c r="C120" s="1"/>
      <c r="E120" s="1"/>
      <c r="I120" s="1"/>
      <c r="J120" s="1"/>
      <c r="K120" s="1"/>
    </row>
    <row r="121" spans="1:16" x14ac:dyDescent="0.25">
      <c r="A121" s="3" t="s">
        <v>133</v>
      </c>
      <c r="B121" s="3" t="s">
        <v>149</v>
      </c>
      <c r="C121" s="3"/>
      <c r="J121" s="1"/>
      <c r="L121" s="22"/>
      <c r="M121" s="4"/>
      <c r="P121" s="35"/>
    </row>
    <row r="122" spans="1:16" ht="15.75" thickBot="1" x14ac:dyDescent="0.3">
      <c r="A122" s="69"/>
      <c r="B122" s="12"/>
      <c r="C122" s="12"/>
      <c r="D122" s="12"/>
      <c r="E122" s="12"/>
      <c r="F122" s="12"/>
      <c r="G122" s="12"/>
      <c r="H122" s="12"/>
      <c r="I122" s="12"/>
      <c r="J122" s="45"/>
      <c r="K122" s="12"/>
      <c r="L122" s="59"/>
      <c r="M122" s="55"/>
      <c r="N122" s="12"/>
      <c r="O122" s="12"/>
      <c r="P122" s="43"/>
    </row>
    <row r="123" spans="1:16" ht="15.75" thickBot="1" x14ac:dyDescent="0.3">
      <c r="A123" s="69"/>
      <c r="B123" s="70" t="s">
        <v>139</v>
      </c>
      <c r="C123" s="70"/>
      <c r="D123" s="70"/>
      <c r="E123" s="70"/>
      <c r="F123" s="70"/>
      <c r="G123" s="70"/>
      <c r="H123" s="70"/>
      <c r="I123" s="70"/>
      <c r="J123" s="70"/>
      <c r="K123" s="70"/>
      <c r="L123" s="70"/>
      <c r="M123" s="71"/>
      <c r="N123" s="32"/>
      <c r="O123" s="32"/>
      <c r="P123" s="32"/>
    </row>
    <row r="124" spans="1:16" x14ac:dyDescent="0.25">
      <c r="A124" s="69"/>
      <c r="B124" s="69" t="s">
        <v>163</v>
      </c>
      <c r="C124" s="12"/>
      <c r="D124" s="12"/>
      <c r="E124" s="12"/>
      <c r="F124" s="12"/>
      <c r="G124" s="12"/>
      <c r="H124" s="12"/>
      <c r="I124" s="12"/>
      <c r="J124" s="45"/>
      <c r="K124" s="12"/>
      <c r="L124" s="59"/>
      <c r="M124" s="55"/>
      <c r="N124" s="12"/>
      <c r="O124" s="12"/>
      <c r="P124" s="43"/>
    </row>
    <row r="125" spans="1:16" x14ac:dyDescent="0.25">
      <c r="A125" s="69"/>
      <c r="B125" s="11" t="s">
        <v>45</v>
      </c>
      <c r="C125" s="64">
        <f>M44</f>
        <v>4.1104665000000002</v>
      </c>
      <c r="D125" s="11" t="s">
        <v>126</v>
      </c>
      <c r="E125" s="11"/>
      <c r="F125" s="11"/>
      <c r="G125" s="63" t="s">
        <v>117</v>
      </c>
      <c r="H125" s="63"/>
      <c r="I125" s="64">
        <f>ARMAÇÃO!E24</f>
        <v>0.80568535128491381</v>
      </c>
      <c r="J125" s="11" t="s">
        <v>47</v>
      </c>
      <c r="K125" s="11"/>
      <c r="L125" s="65" t="s">
        <v>48</v>
      </c>
      <c r="M125" s="66">
        <v>8</v>
      </c>
      <c r="N125" s="56" t="s">
        <v>55</v>
      </c>
      <c r="O125" s="66">
        <f>100*(M125/10)^2*PI()/4/I125</f>
        <v>62.388477557985745</v>
      </c>
      <c r="P125" s="11" t="s">
        <v>17</v>
      </c>
    </row>
    <row r="126" spans="1:16" x14ac:dyDescent="0.25">
      <c r="A126" s="69"/>
      <c r="B126" s="12"/>
      <c r="C126" s="55"/>
      <c r="D126" s="12"/>
      <c r="E126" s="12"/>
      <c r="F126" s="12"/>
      <c r="G126" s="59"/>
      <c r="H126" s="59"/>
      <c r="I126" s="55"/>
      <c r="J126" s="12"/>
      <c r="K126" s="12"/>
      <c r="L126" s="43"/>
      <c r="M126" s="66">
        <v>8</v>
      </c>
      <c r="N126" s="102" t="s">
        <v>55</v>
      </c>
      <c r="O126" s="66">
        <v>15</v>
      </c>
      <c r="P126" s="11" t="s">
        <v>17</v>
      </c>
    </row>
    <row r="127" spans="1:16" x14ac:dyDescent="0.25">
      <c r="A127" s="69"/>
      <c r="B127" s="11" t="s">
        <v>46</v>
      </c>
      <c r="C127" s="64">
        <f>M45</f>
        <v>1.6212230999999999</v>
      </c>
      <c r="D127" s="11" t="s">
        <v>126</v>
      </c>
      <c r="E127" s="11"/>
      <c r="F127" s="11"/>
      <c r="G127" s="63" t="s">
        <v>118</v>
      </c>
      <c r="H127" s="63"/>
      <c r="I127" s="64">
        <f>ARMAÇÃO!L24</f>
        <v>0.31692906276693827</v>
      </c>
      <c r="J127" s="11" t="s">
        <v>47</v>
      </c>
      <c r="K127" s="11"/>
      <c r="L127" s="65" t="s">
        <v>48</v>
      </c>
      <c r="M127" s="66">
        <v>8</v>
      </c>
      <c r="N127" s="56" t="s">
        <v>55</v>
      </c>
      <c r="O127" s="66">
        <f>100*(M127/10)^2*PI()/4/I127</f>
        <v>158.60168208808508</v>
      </c>
      <c r="P127" s="11" t="s">
        <v>17</v>
      </c>
    </row>
    <row r="128" spans="1:16" ht="15.75" thickBot="1" x14ac:dyDescent="0.3">
      <c r="A128" s="69"/>
      <c r="B128" s="12"/>
      <c r="C128" s="12"/>
      <c r="D128" s="12"/>
      <c r="E128" s="12"/>
      <c r="F128" s="12"/>
      <c r="G128" s="12"/>
      <c r="H128" s="12"/>
      <c r="I128" s="12"/>
      <c r="J128" s="45"/>
      <c r="K128" s="12"/>
      <c r="L128" s="59"/>
      <c r="M128" s="66">
        <v>8</v>
      </c>
      <c r="N128" s="102" t="s">
        <v>55</v>
      </c>
      <c r="O128" s="66">
        <v>15</v>
      </c>
      <c r="P128" s="11" t="s">
        <v>17</v>
      </c>
    </row>
    <row r="129" spans="1:16" ht="15.75" thickBot="1" x14ac:dyDescent="0.3">
      <c r="A129" s="69"/>
      <c r="B129" s="70" t="s">
        <v>146</v>
      </c>
      <c r="C129" s="70"/>
      <c r="D129" s="70"/>
      <c r="E129" s="70"/>
      <c r="F129" s="70"/>
      <c r="G129" s="70"/>
      <c r="H129" s="70"/>
      <c r="I129" s="70"/>
      <c r="J129" s="70"/>
      <c r="K129" s="70"/>
      <c r="L129" s="70"/>
      <c r="M129" s="71"/>
      <c r="N129" s="32"/>
      <c r="O129" s="32"/>
      <c r="P129" s="32"/>
    </row>
    <row r="130" spans="1:16" x14ac:dyDescent="0.25">
      <c r="A130" s="69"/>
      <c r="B130" s="69" t="s">
        <v>162</v>
      </c>
      <c r="C130" s="12"/>
      <c r="D130" s="12"/>
      <c r="E130" s="12"/>
      <c r="F130" s="12"/>
      <c r="G130" s="12"/>
      <c r="H130" s="12"/>
      <c r="I130" s="12"/>
      <c r="J130" s="45"/>
      <c r="K130" s="12"/>
      <c r="L130" s="59"/>
      <c r="M130" s="55"/>
      <c r="N130" s="12"/>
      <c r="O130" s="12"/>
      <c r="P130" s="43"/>
    </row>
    <row r="131" spans="1:16" x14ac:dyDescent="0.25">
      <c r="A131" s="69"/>
      <c r="B131" s="11" t="s">
        <v>45</v>
      </c>
      <c r="C131" s="64">
        <f>N70</f>
        <v>27.86699127128783</v>
      </c>
      <c r="D131" s="11" t="s">
        <v>126</v>
      </c>
      <c r="E131" s="11"/>
      <c r="F131" s="11"/>
      <c r="G131" s="63" t="s">
        <v>117</v>
      </c>
      <c r="H131" s="63"/>
      <c r="I131" s="64">
        <f>ARMAÇÃO!E44</f>
        <v>6.9399495279204828</v>
      </c>
      <c r="J131" s="11" t="s">
        <v>47</v>
      </c>
      <c r="K131" s="11"/>
      <c r="L131" s="65" t="s">
        <v>48</v>
      </c>
      <c r="M131" s="66">
        <v>12.5</v>
      </c>
      <c r="N131" s="92" t="s">
        <v>55</v>
      </c>
      <c r="O131" s="66">
        <f>100*(M131/10)^2*PI()/4/I131</f>
        <v>17.682904254149985</v>
      </c>
      <c r="P131" s="11" t="s">
        <v>17</v>
      </c>
    </row>
    <row r="132" spans="1:16" x14ac:dyDescent="0.25">
      <c r="A132" s="69"/>
      <c r="B132" s="12"/>
      <c r="C132" s="55"/>
      <c r="D132" s="12"/>
      <c r="E132" s="12"/>
      <c r="F132" s="12"/>
      <c r="G132" s="59"/>
      <c r="H132" s="59"/>
      <c r="I132" s="55"/>
      <c r="J132" s="12"/>
      <c r="K132" s="12"/>
      <c r="L132" s="43"/>
      <c r="M132" s="66">
        <v>12.5</v>
      </c>
      <c r="N132" s="102" t="s">
        <v>55</v>
      </c>
      <c r="O132" s="66">
        <v>15</v>
      </c>
      <c r="P132" s="11" t="s">
        <v>17</v>
      </c>
    </row>
    <row r="133" spans="1:16" x14ac:dyDescent="0.25">
      <c r="A133" s="69"/>
      <c r="B133" s="11" t="s">
        <v>46</v>
      </c>
      <c r="C133" s="64">
        <f>N72</f>
        <v>10.991114993033078</v>
      </c>
      <c r="D133" s="11" t="s">
        <v>126</v>
      </c>
      <c r="E133" s="11"/>
      <c r="F133" s="11"/>
      <c r="G133" s="63" t="s">
        <v>118</v>
      </c>
      <c r="H133" s="63"/>
      <c r="I133" s="64">
        <f>ARMAÇÃO!L44</f>
        <v>2.1484326053381313</v>
      </c>
      <c r="J133" s="11" t="s">
        <v>47</v>
      </c>
      <c r="K133" s="11"/>
      <c r="L133" s="65" t="s">
        <v>48</v>
      </c>
      <c r="M133" s="66">
        <v>8</v>
      </c>
      <c r="N133" s="92" t="s">
        <v>55</v>
      </c>
      <c r="O133" s="66">
        <f>100*(M133/10)^2*PI()/4/I133</f>
        <v>23.396350591842591</v>
      </c>
      <c r="P133" s="11" t="s">
        <v>17</v>
      </c>
    </row>
    <row r="134" spans="1:16" ht="15.75" thickBot="1" x14ac:dyDescent="0.3">
      <c r="A134" s="69"/>
      <c r="B134" s="12"/>
      <c r="C134" s="12"/>
      <c r="D134" s="12"/>
      <c r="E134" s="12"/>
      <c r="F134" s="12"/>
      <c r="G134" s="12"/>
      <c r="H134" s="12"/>
      <c r="I134" s="12"/>
      <c r="J134" s="45"/>
      <c r="K134" s="12"/>
      <c r="L134" s="59"/>
      <c r="M134" s="66">
        <v>10</v>
      </c>
      <c r="N134" s="102" t="s">
        <v>55</v>
      </c>
      <c r="O134" s="66">
        <v>15</v>
      </c>
      <c r="P134" s="11" t="s">
        <v>17</v>
      </c>
    </row>
    <row r="135" spans="1:16" ht="15.75" thickBot="1" x14ac:dyDescent="0.3">
      <c r="A135" s="69"/>
      <c r="B135" s="70" t="s">
        <v>150</v>
      </c>
      <c r="C135" s="70"/>
      <c r="D135" s="70"/>
      <c r="E135" s="70"/>
      <c r="F135" s="70"/>
      <c r="G135" s="70"/>
      <c r="H135" s="70"/>
      <c r="I135" s="70"/>
      <c r="J135" s="70"/>
      <c r="K135" s="70"/>
      <c r="L135" s="70"/>
      <c r="M135" s="71"/>
      <c r="N135" s="32"/>
      <c r="O135" s="32"/>
      <c r="P135" s="32"/>
    </row>
    <row r="136" spans="1:16" x14ac:dyDescent="0.25">
      <c r="A136" s="69"/>
      <c r="B136" s="69" t="s">
        <v>161</v>
      </c>
      <c r="C136" s="12"/>
      <c r="D136" s="12"/>
      <c r="E136" s="12"/>
      <c r="F136" s="12"/>
      <c r="G136" s="12"/>
      <c r="H136" s="12"/>
      <c r="I136" s="12"/>
      <c r="J136" s="45"/>
      <c r="K136" s="12"/>
      <c r="L136" s="59"/>
      <c r="M136" s="55"/>
      <c r="N136" s="12"/>
      <c r="P136" s="35"/>
    </row>
    <row r="137" spans="1:16" x14ac:dyDescent="0.25">
      <c r="A137" s="69"/>
      <c r="B137" s="11" t="s">
        <v>45</v>
      </c>
      <c r="C137" s="64">
        <f>M89</f>
        <v>2.7361877760000004</v>
      </c>
      <c r="D137" s="11" t="s">
        <v>165</v>
      </c>
      <c r="E137" s="11"/>
      <c r="F137" s="11"/>
      <c r="G137" s="63" t="s">
        <v>117</v>
      </c>
      <c r="H137" s="63"/>
      <c r="I137" s="64">
        <f>ARMAÇÃO!E64</f>
        <v>0.53552704897246284</v>
      </c>
      <c r="J137" s="11" t="s">
        <v>47</v>
      </c>
      <c r="K137" s="11"/>
      <c r="L137" s="65" t="s">
        <v>48</v>
      </c>
      <c r="M137" s="66">
        <v>8</v>
      </c>
      <c r="N137" s="92" t="s">
        <v>55</v>
      </c>
      <c r="O137" s="66">
        <f>100*(M137/10)^2*PI()/4/I137</f>
        <v>93.861706059260868</v>
      </c>
      <c r="P137" s="11" t="s">
        <v>17</v>
      </c>
    </row>
    <row r="138" spans="1:16" x14ac:dyDescent="0.25">
      <c r="A138" s="69"/>
      <c r="B138" s="12"/>
      <c r="C138" s="55"/>
      <c r="D138" s="12"/>
      <c r="E138" s="12"/>
      <c r="F138" s="12"/>
      <c r="G138" s="59"/>
      <c r="H138" s="59"/>
      <c r="I138" s="55"/>
      <c r="J138" s="12"/>
      <c r="K138" s="12"/>
      <c r="L138" s="43"/>
      <c r="M138" s="66">
        <v>12.5</v>
      </c>
      <c r="N138" s="102" t="s">
        <v>55</v>
      </c>
      <c r="O138" s="66">
        <v>15</v>
      </c>
      <c r="P138" s="11" t="s">
        <v>17</v>
      </c>
    </row>
    <row r="139" spans="1:16" x14ac:dyDescent="0.25">
      <c r="A139" s="69"/>
      <c r="B139" s="11" t="s">
        <v>46</v>
      </c>
      <c r="C139" s="64">
        <f>M91</f>
        <v>6.3030039839999992</v>
      </c>
      <c r="D139" s="11" t="s">
        <v>164</v>
      </c>
      <c r="E139" s="11"/>
      <c r="F139" s="11"/>
      <c r="G139" s="63" t="s">
        <v>118</v>
      </c>
      <c r="H139" s="63"/>
      <c r="I139" s="64">
        <f>ARMAÇÃO!L64</f>
        <v>1.2257753444697905</v>
      </c>
      <c r="J139" s="11" t="s">
        <v>47</v>
      </c>
      <c r="K139" s="11"/>
      <c r="L139" s="65" t="s">
        <v>48</v>
      </c>
      <c r="M139" s="66">
        <v>8</v>
      </c>
      <c r="N139" s="92" t="s">
        <v>55</v>
      </c>
      <c r="O139" s="66">
        <f>100*(M139/10)^2*PI()/4/I139</f>
        <v>41.007092110487058</v>
      </c>
      <c r="P139" s="11" t="s">
        <v>17</v>
      </c>
    </row>
    <row r="140" spans="1:16" ht="15.75" thickBot="1" x14ac:dyDescent="0.3">
      <c r="A140" s="69"/>
      <c r="B140" s="12"/>
      <c r="C140" s="12"/>
      <c r="D140" s="12"/>
      <c r="E140" s="12"/>
      <c r="F140" s="12"/>
      <c r="G140" s="12"/>
      <c r="H140" s="12"/>
      <c r="I140" s="12"/>
      <c r="J140" s="45"/>
      <c r="K140" s="12"/>
      <c r="L140" s="59"/>
      <c r="M140" s="13">
        <v>10</v>
      </c>
      <c r="N140" s="96" t="s">
        <v>55</v>
      </c>
      <c r="O140" s="13">
        <v>15</v>
      </c>
      <c r="P140" s="12" t="s">
        <v>17</v>
      </c>
    </row>
    <row r="141" spans="1:16" ht="15.75" thickBot="1" x14ac:dyDescent="0.3">
      <c r="A141" s="69"/>
      <c r="B141" s="70" t="s">
        <v>151</v>
      </c>
      <c r="C141" s="70"/>
      <c r="D141" s="70"/>
      <c r="E141" s="70"/>
      <c r="F141" s="70"/>
      <c r="G141" s="70"/>
      <c r="H141" s="70"/>
      <c r="I141" s="70"/>
      <c r="J141" s="70"/>
      <c r="K141" s="70"/>
      <c r="L141" s="70"/>
      <c r="M141" s="71"/>
      <c r="N141" s="32"/>
      <c r="O141" s="32"/>
      <c r="P141" s="32"/>
    </row>
    <row r="142" spans="1:16" x14ac:dyDescent="0.25">
      <c r="A142" s="69"/>
      <c r="B142" s="69" t="s">
        <v>161</v>
      </c>
      <c r="C142" s="12"/>
      <c r="D142" s="12"/>
      <c r="E142" s="12"/>
      <c r="F142" s="12"/>
      <c r="G142" s="12"/>
      <c r="H142" s="12"/>
      <c r="I142" s="12"/>
      <c r="J142" s="45"/>
      <c r="K142" s="12"/>
      <c r="L142" s="59"/>
      <c r="M142" s="55"/>
      <c r="N142" s="12"/>
      <c r="O142" s="12"/>
      <c r="P142" s="43"/>
    </row>
    <row r="143" spans="1:16" x14ac:dyDescent="0.25">
      <c r="A143" s="69"/>
      <c r="B143" s="11" t="s">
        <v>45</v>
      </c>
      <c r="C143" s="64">
        <f>M113</f>
        <v>10.660033151999999</v>
      </c>
      <c r="D143" s="11" t="s">
        <v>165</v>
      </c>
      <c r="E143" s="11"/>
      <c r="F143" s="11"/>
      <c r="G143" s="63" t="s">
        <v>117</v>
      </c>
      <c r="H143" s="63"/>
      <c r="I143" s="64">
        <f>ARMAÇÃO!E86</f>
        <v>2.104345404063733</v>
      </c>
      <c r="J143" s="11" t="s">
        <v>47</v>
      </c>
      <c r="K143" s="11"/>
      <c r="L143" s="65" t="s">
        <v>48</v>
      </c>
      <c r="M143" s="66">
        <v>8</v>
      </c>
      <c r="N143" s="92" t="s">
        <v>55</v>
      </c>
      <c r="O143" s="66">
        <f>100*(M143/10)^2*PI()/4/I143</f>
        <v>23.88651709000256</v>
      </c>
      <c r="P143" s="11" t="s">
        <v>17</v>
      </c>
    </row>
    <row r="144" spans="1:16" x14ac:dyDescent="0.25">
      <c r="A144" s="69"/>
      <c r="B144" s="12"/>
      <c r="C144" s="55"/>
      <c r="D144" s="12"/>
      <c r="E144" s="12"/>
      <c r="F144" s="12"/>
      <c r="G144" s="59"/>
      <c r="H144" s="59"/>
      <c r="I144" s="55"/>
      <c r="J144" s="12"/>
      <c r="K144" s="12"/>
      <c r="L144" s="43"/>
      <c r="M144" s="66">
        <v>12.5</v>
      </c>
      <c r="N144" s="102" t="s">
        <v>55</v>
      </c>
      <c r="O144" s="66">
        <v>15</v>
      </c>
      <c r="P144" s="11" t="s">
        <v>17</v>
      </c>
    </row>
    <row r="145" spans="1:16" x14ac:dyDescent="0.25">
      <c r="A145" s="69"/>
      <c r="B145" s="11" t="s">
        <v>46</v>
      </c>
      <c r="C145" s="64">
        <f>M115</f>
        <v>17.174497855999999</v>
      </c>
      <c r="D145" s="11" t="s">
        <v>164</v>
      </c>
      <c r="E145" s="11"/>
      <c r="F145" s="11"/>
      <c r="G145" s="63" t="s">
        <v>118</v>
      </c>
      <c r="H145" s="63"/>
      <c r="I145" s="64">
        <f>ARMAÇÃO!L86</f>
        <v>4.2252371039151759</v>
      </c>
      <c r="J145" s="11" t="s">
        <v>47</v>
      </c>
      <c r="K145" s="11"/>
      <c r="L145" s="65" t="s">
        <v>48</v>
      </c>
      <c r="M145" s="66">
        <v>12.5</v>
      </c>
      <c r="N145" s="92" t="s">
        <v>55</v>
      </c>
      <c r="O145" s="66">
        <f>100*(M145/10)^2*PI()/4/I145</f>
        <v>29.044160129413399</v>
      </c>
      <c r="P145" s="11" t="s">
        <v>17</v>
      </c>
    </row>
    <row r="146" spans="1:16" x14ac:dyDescent="0.25">
      <c r="A146" s="69"/>
      <c r="B146" s="12"/>
      <c r="C146" s="12"/>
      <c r="D146" s="12"/>
      <c r="E146" s="12"/>
      <c r="F146" s="12"/>
      <c r="G146" s="12"/>
      <c r="H146" s="12"/>
      <c r="I146" s="12"/>
      <c r="J146" s="45"/>
      <c r="K146" s="12"/>
      <c r="L146" s="59"/>
      <c r="M146" s="66">
        <v>10</v>
      </c>
      <c r="N146" s="102" t="s">
        <v>55</v>
      </c>
      <c r="O146" s="66">
        <v>15</v>
      </c>
      <c r="P146" s="11" t="s">
        <v>17</v>
      </c>
    </row>
    <row r="147" spans="1:16" ht="15.75" thickBot="1" x14ac:dyDescent="0.3">
      <c r="A147" s="69"/>
      <c r="B147" s="12"/>
      <c r="C147" s="12"/>
      <c r="D147" s="12"/>
      <c r="E147" s="12"/>
      <c r="F147" s="12"/>
      <c r="G147" s="12"/>
      <c r="H147" s="12"/>
      <c r="I147" s="12"/>
      <c r="J147" s="45"/>
      <c r="K147" s="12"/>
      <c r="L147" s="59"/>
      <c r="M147" s="13"/>
      <c r="N147" s="96"/>
      <c r="O147" s="13"/>
      <c r="P147" s="12"/>
    </row>
    <row r="148" spans="1:16" ht="15.75" thickBot="1" x14ac:dyDescent="0.3">
      <c r="A148" s="69"/>
      <c r="B148" s="70" t="s">
        <v>123</v>
      </c>
      <c r="C148" s="70"/>
      <c r="D148" s="70"/>
      <c r="E148" s="70"/>
      <c r="F148" s="70"/>
      <c r="G148" s="70"/>
      <c r="H148" s="70"/>
      <c r="I148" s="70"/>
      <c r="J148" s="70"/>
      <c r="K148" s="70"/>
      <c r="L148" s="70"/>
      <c r="M148" s="71"/>
      <c r="N148" s="32"/>
      <c r="O148" s="32"/>
      <c r="P148" s="32"/>
    </row>
    <row r="149" spans="1:16" x14ac:dyDescent="0.25">
      <c r="A149" s="69"/>
      <c r="B149" s="69" t="s">
        <v>160</v>
      </c>
      <c r="C149" s="12"/>
      <c r="D149" s="12"/>
      <c r="E149" s="12"/>
      <c r="F149" s="12"/>
      <c r="G149" s="12"/>
      <c r="H149" s="12"/>
      <c r="I149" s="12"/>
      <c r="J149" s="45"/>
      <c r="K149" s="12"/>
      <c r="L149" s="59"/>
      <c r="M149" s="55"/>
      <c r="N149" s="12"/>
      <c r="O149" s="12"/>
      <c r="P149" s="43"/>
    </row>
    <row r="150" spans="1:16" x14ac:dyDescent="0.25">
      <c r="A150" s="69"/>
      <c r="B150" s="11" t="s">
        <v>76</v>
      </c>
      <c r="C150" s="64">
        <f>M71</f>
        <v>25.064723992610844</v>
      </c>
      <c r="D150" s="11" t="s">
        <v>126</v>
      </c>
      <c r="E150" s="11"/>
      <c r="F150" s="11"/>
      <c r="G150" s="63" t="s">
        <v>78</v>
      </c>
      <c r="H150" s="63"/>
      <c r="I150" s="64">
        <f>ARMAÇÃO!E106</f>
        <v>6.221873118100345</v>
      </c>
      <c r="J150" s="11" t="s">
        <v>47</v>
      </c>
      <c r="K150" s="11"/>
      <c r="L150" s="65" t="s">
        <v>48</v>
      </c>
      <c r="M150" s="66">
        <v>12.5</v>
      </c>
      <c r="N150" s="92" t="s">
        <v>55</v>
      </c>
      <c r="O150" s="66">
        <f>100*(M150/10)^2*PI()/4/I150</f>
        <v>19.723716749196512</v>
      </c>
      <c r="P150" s="11" t="s">
        <v>17</v>
      </c>
    </row>
    <row r="151" spans="1:16" ht="15.75" thickBot="1" x14ac:dyDescent="0.3">
      <c r="A151" s="69"/>
      <c r="B151" s="12"/>
      <c r="C151" s="12"/>
      <c r="D151" s="12"/>
      <c r="E151" s="12"/>
      <c r="F151" s="12"/>
      <c r="G151" s="12"/>
      <c r="H151" s="12"/>
      <c r="I151" s="12"/>
      <c r="J151" s="45"/>
      <c r="K151" s="12"/>
      <c r="L151" s="59"/>
      <c r="M151" s="66">
        <v>12.5</v>
      </c>
      <c r="N151" s="102" t="s">
        <v>55</v>
      </c>
      <c r="O151" s="66">
        <v>15</v>
      </c>
      <c r="P151" s="11" t="s">
        <v>17</v>
      </c>
    </row>
    <row r="152" spans="1:16" ht="15.75" thickBot="1" x14ac:dyDescent="0.3">
      <c r="A152" s="69"/>
      <c r="B152" s="70" t="s">
        <v>124</v>
      </c>
      <c r="C152" s="70"/>
      <c r="D152" s="70"/>
      <c r="E152" s="70"/>
      <c r="F152" s="70"/>
      <c r="G152" s="70"/>
      <c r="H152" s="70"/>
      <c r="I152" s="70"/>
      <c r="J152" s="70"/>
      <c r="K152" s="70"/>
      <c r="L152" s="70"/>
      <c r="M152" s="71"/>
      <c r="N152" s="32"/>
      <c r="O152" s="32"/>
      <c r="P152" s="32"/>
    </row>
    <row r="153" spans="1:16" x14ac:dyDescent="0.25">
      <c r="A153" s="69"/>
      <c r="B153" s="69" t="s">
        <v>160</v>
      </c>
      <c r="C153" s="12"/>
      <c r="D153" s="12"/>
      <c r="E153" s="12"/>
      <c r="F153" s="12"/>
      <c r="G153" s="12"/>
      <c r="H153" s="12"/>
      <c r="I153" s="12"/>
      <c r="J153" s="45"/>
      <c r="K153" s="12"/>
      <c r="L153" s="59"/>
      <c r="M153" s="55"/>
      <c r="N153" s="12"/>
      <c r="O153" s="12"/>
      <c r="P153" s="43"/>
    </row>
    <row r="154" spans="1:16" x14ac:dyDescent="0.25">
      <c r="A154" s="69"/>
      <c r="B154" s="11" t="s">
        <v>77</v>
      </c>
      <c r="C154" s="64">
        <f>M73</f>
        <v>17.809965371147083</v>
      </c>
      <c r="D154" s="11" t="s">
        <v>126</v>
      </c>
      <c r="E154" s="11"/>
      <c r="F154" s="11"/>
      <c r="G154" s="63" t="s">
        <v>78</v>
      </c>
      <c r="H154" s="63"/>
      <c r="I154" s="64">
        <f>ARMAÇÃO!L106</f>
        <v>3.9217923462789384</v>
      </c>
      <c r="J154" s="11" t="s">
        <v>47</v>
      </c>
      <c r="K154" s="11"/>
      <c r="L154" s="65" t="s">
        <v>48</v>
      </c>
      <c r="M154" s="66">
        <v>10</v>
      </c>
      <c r="N154" s="92" t="s">
        <v>55</v>
      </c>
      <c r="O154" s="66">
        <f>100*(M154/10)^2*PI()/4/I154</f>
        <v>20.026510688222622</v>
      </c>
      <c r="P154" s="11" t="s">
        <v>17</v>
      </c>
    </row>
    <row r="155" spans="1:16" ht="15.75" thickBot="1" x14ac:dyDescent="0.3">
      <c r="A155" s="69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66">
        <v>10</v>
      </c>
      <c r="N155" s="102" t="s">
        <v>55</v>
      </c>
      <c r="O155" s="66">
        <v>15</v>
      </c>
      <c r="P155" s="11" t="s">
        <v>17</v>
      </c>
    </row>
    <row r="156" spans="1:16" ht="15.75" thickBot="1" x14ac:dyDescent="0.3">
      <c r="A156" s="69"/>
      <c r="B156" s="70" t="s">
        <v>125</v>
      </c>
      <c r="C156" s="70"/>
      <c r="D156" s="70"/>
      <c r="E156" s="70"/>
      <c r="F156" s="70"/>
      <c r="G156" s="70"/>
      <c r="H156" s="70"/>
      <c r="I156" s="70"/>
      <c r="J156" s="70"/>
      <c r="K156" s="70"/>
      <c r="L156" s="70"/>
      <c r="M156" s="71"/>
      <c r="N156" s="32"/>
      <c r="O156" s="32"/>
      <c r="P156" s="32"/>
    </row>
    <row r="157" spans="1:16" x14ac:dyDescent="0.25">
      <c r="A157" s="69"/>
      <c r="B157" s="69" t="s">
        <v>159</v>
      </c>
      <c r="C157" s="45"/>
      <c r="D157" s="45"/>
      <c r="E157" s="45"/>
      <c r="F157" s="45"/>
      <c r="G157" s="45"/>
      <c r="H157" s="45"/>
      <c r="I157" s="45"/>
      <c r="J157" s="45"/>
      <c r="K157" s="45"/>
      <c r="L157" s="45"/>
      <c r="M157" s="94"/>
      <c r="N157" s="15"/>
      <c r="O157" s="12"/>
      <c r="P157" s="43"/>
    </row>
    <row r="158" spans="1:16" x14ac:dyDescent="0.25">
      <c r="A158" s="69"/>
      <c r="B158" s="12" t="s">
        <v>76</v>
      </c>
      <c r="C158" s="95">
        <f>M92</f>
        <v>13.974101855999999</v>
      </c>
      <c r="D158" s="45"/>
      <c r="E158" s="45"/>
      <c r="F158" s="45"/>
      <c r="H158" s="95"/>
      <c r="I158" s="45"/>
      <c r="J158" s="45"/>
      <c r="K158" s="45"/>
      <c r="L158" s="45"/>
      <c r="M158" s="94"/>
      <c r="N158" s="15"/>
      <c r="O158" s="12"/>
      <c r="P158" s="43"/>
    </row>
    <row r="159" spans="1:16" x14ac:dyDescent="0.25">
      <c r="A159" s="69"/>
      <c r="B159" s="12" t="s">
        <v>77</v>
      </c>
      <c r="C159" s="95">
        <f>M116</f>
        <v>35.681499856000002</v>
      </c>
      <c r="D159" s="45"/>
      <c r="E159" s="45"/>
      <c r="F159" s="45"/>
      <c r="G159" s="45"/>
      <c r="H159" s="45"/>
      <c r="I159" s="45"/>
      <c r="J159" s="45"/>
      <c r="K159" s="45"/>
      <c r="L159" s="45"/>
      <c r="M159" s="94"/>
      <c r="N159" s="15"/>
      <c r="O159" s="12"/>
      <c r="P159" s="43"/>
    </row>
    <row r="160" spans="1:16" x14ac:dyDescent="0.25">
      <c r="A160" s="69"/>
      <c r="B160" s="11" t="s">
        <v>77</v>
      </c>
      <c r="C160" s="64">
        <f>IF((C158+C159)/2&gt;IF(C158&gt;C159,0.8*C158,0.8*C159),(C158+C159)/2,IF(C158&gt;C159,0.8*C158,0.8*C159))</f>
        <v>28.545199884800002</v>
      </c>
      <c r="D160" s="11" t="s">
        <v>126</v>
      </c>
      <c r="E160" s="11"/>
      <c r="F160" s="11"/>
      <c r="G160" s="63" t="s">
        <v>78</v>
      </c>
      <c r="H160" s="63"/>
      <c r="I160" s="64">
        <f>ARMAÇÃO!E126</f>
        <v>7.1144642018297271</v>
      </c>
      <c r="J160" s="11" t="s">
        <v>47</v>
      </c>
      <c r="K160" s="11"/>
      <c r="L160" s="65" t="s">
        <v>48</v>
      </c>
      <c r="M160" s="66">
        <v>12.5</v>
      </c>
      <c r="N160" s="92" t="s">
        <v>55</v>
      </c>
      <c r="O160" s="66">
        <f>100*(M160/10)^2*PI()/4/I160</f>
        <v>17.249150399729338</v>
      </c>
      <c r="P160" s="11" t="s">
        <v>17</v>
      </c>
    </row>
    <row r="161" spans="1:16" x14ac:dyDescent="0.25">
      <c r="A161" s="69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66">
        <v>12.5</v>
      </c>
      <c r="N161" s="102" t="s">
        <v>55</v>
      </c>
      <c r="O161" s="66">
        <v>20</v>
      </c>
      <c r="P161" s="11" t="s">
        <v>17</v>
      </c>
    </row>
    <row r="168" spans="1:16" x14ac:dyDescent="0.25">
      <c r="A168" s="69"/>
      <c r="B168" s="12"/>
      <c r="C168" s="12"/>
      <c r="D168" s="12"/>
      <c r="E168" s="12"/>
      <c r="F168" s="12"/>
      <c r="G168" s="12"/>
      <c r="H168" s="12"/>
      <c r="I168" s="12"/>
      <c r="J168" s="59"/>
      <c r="K168" s="55"/>
      <c r="L168" s="12"/>
      <c r="M168" s="12"/>
      <c r="N168" s="54"/>
      <c r="O168" s="13"/>
      <c r="P168" s="12"/>
    </row>
    <row r="169" spans="1:16" x14ac:dyDescent="0.25">
      <c r="J169" s="22"/>
      <c r="K169" s="4"/>
      <c r="N169" s="53"/>
      <c r="O169" s="6"/>
    </row>
    <row r="170" spans="1:16" x14ac:dyDescent="0.25">
      <c r="J170" s="22"/>
      <c r="K170" s="4"/>
      <c r="N170" s="53"/>
      <c r="O170" s="6"/>
    </row>
    <row r="171" spans="1:16" x14ac:dyDescent="0.25">
      <c r="J171" s="22"/>
      <c r="K171" s="4"/>
      <c r="N171" s="53"/>
      <c r="O171" s="6"/>
    </row>
    <row r="172" spans="1:16" x14ac:dyDescent="0.25">
      <c r="J172" s="22"/>
      <c r="K172" s="4"/>
      <c r="N172" s="53"/>
      <c r="O172" s="6"/>
    </row>
    <row r="173" spans="1:16" x14ac:dyDescent="0.25">
      <c r="I173" s="12"/>
      <c r="J173" s="22"/>
      <c r="K173" s="4"/>
      <c r="N173" s="53"/>
      <c r="O173" s="6"/>
    </row>
  </sheetData>
  <mergeCells count="4">
    <mergeCell ref="N106:O106"/>
    <mergeCell ref="C109:I109"/>
    <mergeCell ref="C67:I67"/>
    <mergeCell ref="C86:I86"/>
  </mergeCells>
  <pageMargins left="0.51181102362204722" right="0.51181102362204722" top="0.78740157480314965" bottom="0.78740157480314965" header="0.31496062992125984" footer="0.31496062992125984"/>
  <pageSetup paperSize="9" scale="90" orientation="portrait" r:id="rId1"/>
  <headerFooter>
    <oddFooter>&amp;R
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9"/>
  <sheetViews>
    <sheetView tabSelected="1" view="pageBreakPreview" zoomScaleNormal="85" zoomScaleSheetLayoutView="100" workbookViewId="0">
      <selection activeCell="H45" sqref="H45:M45"/>
    </sheetView>
  </sheetViews>
  <sheetFormatPr defaultRowHeight="15" x14ac:dyDescent="0.25"/>
  <cols>
    <col min="1" max="1" width="7.7109375" customWidth="1"/>
    <col min="2" max="2" width="7" customWidth="1"/>
    <col min="3" max="3" width="7.7109375" customWidth="1"/>
    <col min="4" max="4" width="5.7109375" customWidth="1"/>
    <col min="5" max="5" width="7.7109375" customWidth="1"/>
    <col min="6" max="6" width="10.5703125" customWidth="1"/>
    <col min="7" max="7" width="3.28515625" customWidth="1"/>
    <col min="8" max="8" width="7.7109375" customWidth="1"/>
    <col min="9" max="9" width="6.7109375" customWidth="1"/>
    <col min="10" max="10" width="7.7109375" customWidth="1"/>
    <col min="11" max="11" width="5.7109375" customWidth="1"/>
    <col min="12" max="12" width="7.7109375" customWidth="1"/>
    <col min="13" max="13" width="10.5703125" customWidth="1"/>
  </cols>
  <sheetData>
    <row r="1" spans="1:18" x14ac:dyDescent="0.25">
      <c r="A1" s="99" t="s">
        <v>168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</row>
    <row r="2" spans="1:18" ht="15" customHeight="1" x14ac:dyDescent="0.25">
      <c r="A2" s="99" t="s">
        <v>169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</row>
    <row r="3" spans="1:18" x14ac:dyDescent="0.25">
      <c r="A3" s="99" t="s">
        <v>96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</row>
    <row r="4" spans="1:18" ht="14.25" customHeight="1" x14ac:dyDescent="0.25">
      <c r="A4" s="99" t="s">
        <v>171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</row>
    <row r="5" spans="1:18" ht="15" customHeight="1" x14ac:dyDescent="0.2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</row>
    <row r="6" spans="1:18" ht="14.25" customHeight="1" x14ac:dyDescent="0.25">
      <c r="A6" s="105" t="s">
        <v>79</v>
      </c>
      <c r="B6" s="105"/>
      <c r="C6" s="105"/>
      <c r="D6" s="105"/>
      <c r="E6" s="105"/>
      <c r="F6" s="105"/>
      <c r="G6" s="11"/>
      <c r="H6" s="105" t="s">
        <v>80</v>
      </c>
      <c r="I6" s="105"/>
      <c r="J6" s="105"/>
      <c r="K6" s="105"/>
      <c r="L6" s="105"/>
      <c r="M6" s="105"/>
    </row>
    <row r="7" spans="1:18" ht="14.25" customHeight="1" x14ac:dyDescent="0.25">
      <c r="A7" t="s">
        <v>7</v>
      </c>
      <c r="B7">
        <f>'T. PRISMÁTICO'!M8</f>
        <v>40</v>
      </c>
      <c r="C7" t="s">
        <v>3</v>
      </c>
      <c r="D7" t="s">
        <v>8</v>
      </c>
      <c r="E7" s="4">
        <f>0.85*B7/10/B9</f>
        <v>2.4285714285714288</v>
      </c>
      <c r="F7" t="s">
        <v>9</v>
      </c>
      <c r="G7" s="11"/>
      <c r="H7" t="s">
        <v>7</v>
      </c>
      <c r="I7">
        <f>B7</f>
        <v>40</v>
      </c>
      <c r="J7" t="s">
        <v>3</v>
      </c>
      <c r="K7" t="s">
        <v>8</v>
      </c>
      <c r="L7" s="4">
        <f>0.85*I7/10/I9</f>
        <v>2.4285714285714288</v>
      </c>
      <c r="M7" t="s">
        <v>9</v>
      </c>
      <c r="R7" s="1"/>
    </row>
    <row r="8" spans="1:18" ht="14.25" customHeight="1" x14ac:dyDescent="0.25">
      <c r="A8" t="s">
        <v>10</v>
      </c>
      <c r="B8">
        <f>'T. PRISMÁTICO'!M9/10</f>
        <v>50</v>
      </c>
      <c r="C8" t="s">
        <v>9</v>
      </c>
      <c r="D8" t="s">
        <v>11</v>
      </c>
      <c r="E8" s="4">
        <f>B8/B10</f>
        <v>43.478260869565219</v>
      </c>
      <c r="F8" t="s">
        <v>9</v>
      </c>
      <c r="G8" s="11"/>
      <c r="H8" t="s">
        <v>10</v>
      </c>
      <c r="I8">
        <f>B8</f>
        <v>50</v>
      </c>
      <c r="J8" t="s">
        <v>9</v>
      </c>
      <c r="K8" t="s">
        <v>11</v>
      </c>
      <c r="L8" s="4">
        <f>I8/I10</f>
        <v>43.478260869565219</v>
      </c>
      <c r="M8" t="s">
        <v>9</v>
      </c>
      <c r="R8" s="1"/>
    </row>
    <row r="9" spans="1:18" ht="14.25" customHeight="1" x14ac:dyDescent="0.25">
      <c r="A9" t="s">
        <v>12</v>
      </c>
      <c r="B9">
        <v>1.4</v>
      </c>
      <c r="D9" t="s">
        <v>13</v>
      </c>
      <c r="E9">
        <f>B11*B16*100</f>
        <v>575.46530999999993</v>
      </c>
      <c r="F9" t="s">
        <v>14</v>
      </c>
      <c r="G9" s="11"/>
      <c r="H9" t="s">
        <v>12</v>
      </c>
      <c r="I9">
        <v>1.4</v>
      </c>
      <c r="K9" t="s">
        <v>13</v>
      </c>
      <c r="L9">
        <f>I11*I16*100</f>
        <v>226.97123399999998</v>
      </c>
      <c r="M9" t="s">
        <v>14</v>
      </c>
      <c r="R9" s="1"/>
    </row>
    <row r="10" spans="1:18" ht="14.25" customHeight="1" x14ac:dyDescent="0.25">
      <c r="A10" t="s">
        <v>15</v>
      </c>
      <c r="B10">
        <v>1.1499999999999999</v>
      </c>
      <c r="D10" t="s">
        <v>16</v>
      </c>
      <c r="E10" s="6">
        <f>SQRT(E9/E7/B12/B15)</f>
        <v>2.5103843062031435</v>
      </c>
      <c r="F10" t="s">
        <v>17</v>
      </c>
      <c r="G10" s="11"/>
      <c r="H10" t="s">
        <v>15</v>
      </c>
      <c r="I10">
        <v>1.1499999999999999</v>
      </c>
      <c r="K10" t="s">
        <v>16</v>
      </c>
      <c r="L10" s="6">
        <f>SQRT(L9/L7/I12/I15)</f>
        <v>1.5765801210127144</v>
      </c>
      <c r="M10" t="s">
        <v>17</v>
      </c>
      <c r="R10" s="1"/>
    </row>
    <row r="11" spans="1:18" ht="14.25" customHeight="1" x14ac:dyDescent="0.25">
      <c r="A11" t="s">
        <v>18</v>
      </c>
      <c r="B11">
        <v>1.4</v>
      </c>
      <c r="D11" t="s">
        <v>19</v>
      </c>
      <c r="E11">
        <f>B13-B14</f>
        <v>16.5</v>
      </c>
      <c r="F11" t="s">
        <v>17</v>
      </c>
      <c r="G11" s="11"/>
      <c r="H11" t="s">
        <v>18</v>
      </c>
      <c r="I11">
        <v>1.4</v>
      </c>
      <c r="K11" t="s">
        <v>19</v>
      </c>
      <c r="L11">
        <f>I13-I14</f>
        <v>16.5</v>
      </c>
      <c r="M11" t="s">
        <v>17</v>
      </c>
      <c r="R11" s="1"/>
    </row>
    <row r="12" spans="1:18" ht="14.25" customHeight="1" x14ac:dyDescent="0.25">
      <c r="A12" t="s">
        <v>20</v>
      </c>
      <c r="B12" s="4">
        <v>100</v>
      </c>
      <c r="C12" t="s">
        <v>17</v>
      </c>
      <c r="D12" t="s">
        <v>21</v>
      </c>
      <c r="E12" s="5">
        <f>E9/E7/B12/E11^2</f>
        <v>8.7036291686922677E-3</v>
      </c>
      <c r="G12" s="11"/>
      <c r="H12" t="s">
        <v>20</v>
      </c>
      <c r="I12">
        <v>100</v>
      </c>
      <c r="J12" t="s">
        <v>17</v>
      </c>
      <c r="K12" t="s">
        <v>21</v>
      </c>
      <c r="L12" s="5">
        <f>L9/L7/I12/L11^2</f>
        <v>3.4328280408361684E-3</v>
      </c>
      <c r="R12" s="1"/>
    </row>
    <row r="13" spans="1:18" ht="14.25" customHeight="1" x14ac:dyDescent="0.25">
      <c r="A13" t="s">
        <v>22</v>
      </c>
      <c r="B13" s="4">
        <f>'T. PRISMÁTICO'!K24*100</f>
        <v>20</v>
      </c>
      <c r="C13" t="s">
        <v>17</v>
      </c>
      <c r="D13" t="s">
        <v>23</v>
      </c>
      <c r="E13" s="5">
        <f>IF(E12&gt;B15,B15,E12)</f>
        <v>8.7036291686922677E-3</v>
      </c>
      <c r="G13" s="11"/>
      <c r="H13" t="s">
        <v>22</v>
      </c>
      <c r="I13" s="4">
        <f>B13</f>
        <v>20</v>
      </c>
      <c r="J13" t="s">
        <v>17</v>
      </c>
      <c r="K13" t="s">
        <v>23</v>
      </c>
      <c r="L13" s="5">
        <f>IF(L12&gt;I15,I15,L12)</f>
        <v>3.4328280408361684E-3</v>
      </c>
      <c r="R13" s="1"/>
    </row>
    <row r="14" spans="1:18" ht="14.25" customHeight="1" x14ac:dyDescent="0.3">
      <c r="A14" t="s">
        <v>24</v>
      </c>
      <c r="B14" s="4">
        <v>3.5</v>
      </c>
      <c r="D14" t="s">
        <v>25</v>
      </c>
      <c r="E14" s="4">
        <f>E7*B12*E11/E8*(1-SQRT(1-2*E13))</f>
        <v>0.80568535128491381</v>
      </c>
      <c r="F14" t="s">
        <v>26</v>
      </c>
      <c r="G14" s="11"/>
      <c r="H14" t="s">
        <v>24</v>
      </c>
      <c r="I14" s="4">
        <f>B14</f>
        <v>3.5</v>
      </c>
      <c r="K14" t="s">
        <v>25</v>
      </c>
      <c r="L14" s="4">
        <f>L7*I12*L11/L8*(1-SQRT(1-2*L13))</f>
        <v>0.31692906276693827</v>
      </c>
      <c r="M14" t="s">
        <v>26</v>
      </c>
      <c r="R14" s="1"/>
    </row>
    <row r="15" spans="1:18" ht="14.25" customHeight="1" x14ac:dyDescent="0.3">
      <c r="A15" t="s">
        <v>27</v>
      </c>
      <c r="B15">
        <v>0.376</v>
      </c>
      <c r="D15" t="s">
        <v>28</v>
      </c>
      <c r="E15" s="4">
        <f>E7*B12*E11/E8*(E12-E13)/(1-B14/E11)</f>
        <v>0</v>
      </c>
      <c r="F15" t="s">
        <v>26</v>
      </c>
      <c r="G15" s="11"/>
      <c r="H15" t="s">
        <v>27</v>
      </c>
      <c r="I15">
        <v>0.376</v>
      </c>
      <c r="K15" t="s">
        <v>28</v>
      </c>
      <c r="L15" s="4">
        <f>L7*I12*L11/L8*(L12-L13)/(1-I14/L11)</f>
        <v>0</v>
      </c>
      <c r="M15" t="s">
        <v>26</v>
      </c>
      <c r="R15" s="1"/>
    </row>
    <row r="16" spans="1:18" ht="14.25" customHeight="1" x14ac:dyDescent="0.25">
      <c r="A16" t="s">
        <v>29</v>
      </c>
      <c r="B16" s="4">
        <f>'T. PRISMÁTICO'!C125</f>
        <v>4.1104665000000002</v>
      </c>
      <c r="C16" t="s">
        <v>30</v>
      </c>
      <c r="D16" s="7" t="s">
        <v>31</v>
      </c>
      <c r="E16" s="8">
        <f>E14+E15</f>
        <v>0.80568535128491381</v>
      </c>
      <c r="F16" s="7" t="s">
        <v>26</v>
      </c>
      <c r="G16" s="11"/>
      <c r="H16" t="s">
        <v>29</v>
      </c>
      <c r="I16" s="4">
        <f>'T. PRISMÁTICO'!C127</f>
        <v>1.6212230999999999</v>
      </c>
      <c r="J16" t="s">
        <v>30</v>
      </c>
      <c r="K16" s="7" t="s">
        <v>31</v>
      </c>
      <c r="L16" s="8">
        <f>L14+L15</f>
        <v>0.31692906276693827</v>
      </c>
      <c r="M16" s="7" t="s">
        <v>26</v>
      </c>
      <c r="R16" s="1"/>
    </row>
    <row r="17" spans="1:13" ht="14.25" customHeight="1" x14ac:dyDescent="0.25">
      <c r="D17" s="67" t="s">
        <v>32</v>
      </c>
      <c r="E17" s="68">
        <f>E15</f>
        <v>0</v>
      </c>
      <c r="F17" s="67" t="s">
        <v>26</v>
      </c>
      <c r="G17" s="11"/>
      <c r="K17" s="7" t="s">
        <v>32</v>
      </c>
      <c r="L17" s="8">
        <f>L15</f>
        <v>0</v>
      </c>
      <c r="M17" s="7" t="s">
        <v>26</v>
      </c>
    </row>
    <row r="18" spans="1:13" ht="14.25" customHeight="1" x14ac:dyDescent="0.25">
      <c r="A18" s="106" t="s">
        <v>110</v>
      </c>
      <c r="B18" s="106"/>
      <c r="C18" s="106"/>
      <c r="D18" s="106"/>
      <c r="E18" s="106"/>
      <c r="F18" s="106"/>
      <c r="G18" s="11"/>
      <c r="H18" s="106" t="s">
        <v>110</v>
      </c>
      <c r="I18" s="106"/>
      <c r="J18" s="106"/>
      <c r="K18" s="106"/>
      <c r="L18" s="106"/>
      <c r="M18" s="106"/>
    </row>
    <row r="19" spans="1:13" ht="14.25" customHeight="1" x14ac:dyDescent="0.25">
      <c r="A19" s="1" t="s">
        <v>99</v>
      </c>
      <c r="B19" s="1">
        <f>0.25*B12*B13</f>
        <v>500</v>
      </c>
      <c r="C19" s="1" t="s">
        <v>26</v>
      </c>
      <c r="D19" s="1" t="s">
        <v>102</v>
      </c>
      <c r="E19" s="1">
        <f>'T. PRISMÁTICO'!M17</f>
        <v>0.125</v>
      </c>
      <c r="F19" s="1" t="s">
        <v>107</v>
      </c>
      <c r="G19" s="11"/>
      <c r="H19" s="1" t="s">
        <v>99</v>
      </c>
      <c r="I19" s="1">
        <f>0.25*I12*I13</f>
        <v>500</v>
      </c>
      <c r="J19" s="1" t="s">
        <v>26</v>
      </c>
      <c r="K19" s="1" t="s">
        <v>102</v>
      </c>
      <c r="L19" s="1">
        <f>'T. PRISMÁTICO'!M17</f>
        <v>0.125</v>
      </c>
      <c r="M19" s="1" t="s">
        <v>107</v>
      </c>
    </row>
    <row r="20" spans="1:13" ht="14.25" customHeight="1" x14ac:dyDescent="0.25">
      <c r="A20" s="1" t="s">
        <v>98</v>
      </c>
      <c r="B20" s="44">
        <f>E16/B19</f>
        <v>1.6113707025698276E-3</v>
      </c>
      <c r="C20" s="1"/>
      <c r="D20" s="1" t="s">
        <v>100</v>
      </c>
      <c r="E20" s="44">
        <f>E8*(B22/10)/20/B11/(B21-0.375)/B23/(E19/10)</f>
        <v>4.20651352328371E-3</v>
      </c>
      <c r="F20" s="1"/>
      <c r="G20" s="11"/>
      <c r="H20" s="1" t="s">
        <v>98</v>
      </c>
      <c r="I20" s="44">
        <f>L16/I19</f>
        <v>6.3385812553387654E-4</v>
      </c>
      <c r="J20" s="1"/>
      <c r="K20" s="1" t="s">
        <v>100</v>
      </c>
      <c r="L20" s="44">
        <f>L8*(I22/10)/20/I11/(I21-0.375)/I23/(L19/10)</f>
        <v>4.20651352328371E-3</v>
      </c>
      <c r="M20" s="1"/>
    </row>
    <row r="21" spans="1:13" ht="14.25" customHeight="1" x14ac:dyDescent="0.25">
      <c r="A21" s="1" t="s">
        <v>109</v>
      </c>
      <c r="B21" s="45">
        <v>1.5</v>
      </c>
      <c r="C21" s="1"/>
      <c r="D21" s="1" t="s">
        <v>103</v>
      </c>
      <c r="E21" s="46">
        <f>IF(22.5*E20+SQRT((22.5*E20)^2+4*E20/B20)&lt;1,1,22.5*E20+SQRT((22.5*E20)^2+4*E20/B20))</f>
        <v>3.3274523319523661</v>
      </c>
      <c r="F21" s="1"/>
      <c r="G21" s="11"/>
      <c r="H21" s="1" t="s">
        <v>109</v>
      </c>
      <c r="I21" s="45">
        <v>1.5</v>
      </c>
      <c r="J21" s="1"/>
      <c r="K21" s="1" t="s">
        <v>103</v>
      </c>
      <c r="L21" s="46">
        <f>IF(22.5*L20+SQRT((22.5*L20)^2+4*L20/I20)&lt;1,1,22.5*L20+SQRT((22.5*L20)^2+4*L20/I20))</f>
        <v>5.2477442366232792</v>
      </c>
      <c r="M21" s="1"/>
    </row>
    <row r="22" spans="1:13" ht="14.25" customHeight="1" x14ac:dyDescent="0.25">
      <c r="A22" s="1" t="s">
        <v>116</v>
      </c>
      <c r="B22" s="50">
        <f>'T. PRISMÁTICO'!M125</f>
        <v>8</v>
      </c>
      <c r="C22" s="1" t="s">
        <v>107</v>
      </c>
      <c r="D22" s="1" t="s">
        <v>104</v>
      </c>
      <c r="E22" s="46">
        <f>IF(SQRT(3*E20*E8/B11/(B7/100))&lt;1,1,SQRT(3*E20*E8/B11/(B7/100)))</f>
        <v>1</v>
      </c>
      <c r="F22" s="1"/>
      <c r="G22" s="11"/>
      <c r="H22" s="1" t="s">
        <v>116</v>
      </c>
      <c r="I22" s="50">
        <f>'T. PRISMÁTICO'!M127</f>
        <v>8</v>
      </c>
      <c r="J22" s="1" t="s">
        <v>107</v>
      </c>
      <c r="K22" s="1" t="s">
        <v>104</v>
      </c>
      <c r="L22" s="46">
        <f>IF(SQRT(3*L20*L8/I11/(I7/100))&lt;1,1,SQRT(3*L20*L8/I11/(I7/100)))</f>
        <v>1</v>
      </c>
      <c r="M22" s="1"/>
    </row>
    <row r="23" spans="1:13" ht="14.25" customHeight="1" x14ac:dyDescent="0.25">
      <c r="A23" s="1" t="s">
        <v>101</v>
      </c>
      <c r="B23" s="1">
        <f>'T. PRISMÁTICO'!M12*100</f>
        <v>21000</v>
      </c>
      <c r="C23" s="1" t="s">
        <v>108</v>
      </c>
      <c r="D23" s="47" t="s">
        <v>97</v>
      </c>
      <c r="E23" s="48">
        <f>IF(E21&gt;E22,E22,E21)</f>
        <v>1</v>
      </c>
      <c r="F23" s="1"/>
      <c r="G23" s="11"/>
      <c r="H23" s="1" t="s">
        <v>101</v>
      </c>
      <c r="I23" s="1">
        <f>'T. PRISMÁTICO'!M12*100</f>
        <v>21000</v>
      </c>
      <c r="J23" s="1" t="s">
        <v>108</v>
      </c>
      <c r="K23" s="47" t="s">
        <v>97</v>
      </c>
      <c r="L23" s="48">
        <f>IF(L21&gt;L22,L22,L21)</f>
        <v>1</v>
      </c>
      <c r="M23" s="1"/>
    </row>
    <row r="24" spans="1:13" ht="14.25" customHeight="1" x14ac:dyDescent="0.35">
      <c r="A24" s="1"/>
      <c r="B24" s="1"/>
      <c r="C24" s="1"/>
      <c r="D24" s="51" t="s">
        <v>115</v>
      </c>
      <c r="E24" s="52">
        <f>E23*E16</f>
        <v>0.80568535128491381</v>
      </c>
      <c r="F24" s="1"/>
      <c r="G24" s="11"/>
      <c r="H24" s="1"/>
      <c r="I24" s="1"/>
      <c r="J24" s="1"/>
      <c r="K24" s="51" t="s">
        <v>115</v>
      </c>
      <c r="L24" s="52">
        <f>L23*L16</f>
        <v>0.31692906276693827</v>
      </c>
      <c r="M24" s="1"/>
    </row>
    <row r="25" spans="1:13" ht="14.25" customHeight="1" x14ac:dyDescent="0.25">
      <c r="A25" s="12"/>
      <c r="B25" s="12"/>
      <c r="C25" s="12"/>
      <c r="D25" s="12"/>
      <c r="E25" s="12"/>
      <c r="F25" s="12"/>
      <c r="G25" s="11"/>
      <c r="H25" s="12" t="s">
        <v>152</v>
      </c>
      <c r="I25" s="12"/>
      <c r="J25" s="12"/>
      <c r="K25" s="12"/>
      <c r="L25" s="12"/>
      <c r="M25" s="12"/>
    </row>
    <row r="26" spans="1:13" ht="14.25" customHeight="1" x14ac:dyDescent="0.25">
      <c r="A26" s="105" t="s">
        <v>147</v>
      </c>
      <c r="B26" s="105"/>
      <c r="C26" s="105"/>
      <c r="D26" s="105"/>
      <c r="E26" s="105"/>
      <c r="F26" s="105"/>
      <c r="G26" s="11"/>
      <c r="H26" s="105" t="s">
        <v>148</v>
      </c>
      <c r="I26" s="105"/>
      <c r="J26" s="105"/>
      <c r="K26" s="105"/>
      <c r="L26" s="105"/>
      <c r="M26" s="105"/>
    </row>
    <row r="27" spans="1:13" ht="14.25" customHeight="1" x14ac:dyDescent="0.25">
      <c r="A27" t="s">
        <v>7</v>
      </c>
      <c r="B27">
        <f>B7</f>
        <v>40</v>
      </c>
      <c r="C27" t="s">
        <v>3</v>
      </c>
      <c r="D27" t="s">
        <v>8</v>
      </c>
      <c r="E27" s="4">
        <f>0.85*B27/10/B29</f>
        <v>2.4285714285714288</v>
      </c>
      <c r="F27" t="s">
        <v>9</v>
      </c>
      <c r="G27" s="11"/>
      <c r="H27" t="s">
        <v>7</v>
      </c>
      <c r="I27">
        <f>B27</f>
        <v>40</v>
      </c>
      <c r="J27" t="s">
        <v>3</v>
      </c>
      <c r="K27" t="s">
        <v>8</v>
      </c>
      <c r="L27" s="4">
        <f>0.85*I27/10/I29</f>
        <v>2.4285714285714288</v>
      </c>
      <c r="M27" t="s">
        <v>9</v>
      </c>
    </row>
    <row r="28" spans="1:13" ht="14.25" customHeight="1" x14ac:dyDescent="0.25">
      <c r="A28" t="s">
        <v>10</v>
      </c>
      <c r="B28">
        <f>B8</f>
        <v>50</v>
      </c>
      <c r="C28" t="s">
        <v>9</v>
      </c>
      <c r="D28" t="s">
        <v>11</v>
      </c>
      <c r="E28" s="4">
        <f>B28/B30</f>
        <v>43.478260869565219</v>
      </c>
      <c r="F28" t="s">
        <v>9</v>
      </c>
      <c r="G28" s="11"/>
      <c r="H28" t="s">
        <v>10</v>
      </c>
      <c r="I28">
        <f>B8</f>
        <v>50</v>
      </c>
      <c r="J28" t="s">
        <v>9</v>
      </c>
      <c r="K28" t="s">
        <v>11</v>
      </c>
      <c r="L28" s="4">
        <f>I28/I30</f>
        <v>43.478260869565219</v>
      </c>
      <c r="M28" t="s">
        <v>9</v>
      </c>
    </row>
    <row r="29" spans="1:13" ht="14.25" customHeight="1" x14ac:dyDescent="0.25">
      <c r="A29" t="s">
        <v>12</v>
      </c>
      <c r="B29">
        <v>1.4</v>
      </c>
      <c r="D29" t="s">
        <v>13</v>
      </c>
      <c r="E29">
        <f>B31*B36*100</f>
        <v>3901.378777980296</v>
      </c>
      <c r="F29" t="s">
        <v>14</v>
      </c>
      <c r="G29" s="11"/>
      <c r="H29" t="s">
        <v>12</v>
      </c>
      <c r="I29">
        <v>1.4</v>
      </c>
      <c r="K29" t="s">
        <v>13</v>
      </c>
      <c r="L29">
        <f>I31*I36*100</f>
        <v>1538.7560990246307</v>
      </c>
      <c r="M29" t="s">
        <v>14</v>
      </c>
    </row>
    <row r="30" spans="1:13" ht="14.25" customHeight="1" x14ac:dyDescent="0.25">
      <c r="A30" t="s">
        <v>15</v>
      </c>
      <c r="B30">
        <v>1.1499999999999999</v>
      </c>
      <c r="D30" t="s">
        <v>16</v>
      </c>
      <c r="E30" s="6">
        <f>SQRT(E29/E27/B32/B35)</f>
        <v>6.5364161667185909</v>
      </c>
      <c r="F30" t="s">
        <v>17</v>
      </c>
      <c r="G30" s="11"/>
      <c r="H30" t="s">
        <v>15</v>
      </c>
      <c r="I30">
        <v>1.1499999999999999</v>
      </c>
      <c r="K30" t="s">
        <v>16</v>
      </c>
      <c r="L30" s="6">
        <f>SQRT(L29/L27/I32/I35)</f>
        <v>4.1050223926474594</v>
      </c>
      <c r="M30" t="s">
        <v>17</v>
      </c>
    </row>
    <row r="31" spans="1:13" ht="14.25" customHeight="1" x14ac:dyDescent="0.25">
      <c r="A31" t="s">
        <v>18</v>
      </c>
      <c r="B31">
        <v>1.4</v>
      </c>
      <c r="D31" t="s">
        <v>19</v>
      </c>
      <c r="E31">
        <f>B33-B34</f>
        <v>16.5</v>
      </c>
      <c r="F31" t="s">
        <v>17</v>
      </c>
      <c r="G31" s="11"/>
      <c r="H31" t="s">
        <v>18</v>
      </c>
      <c r="I31">
        <v>1.4</v>
      </c>
      <c r="K31" t="s">
        <v>19</v>
      </c>
      <c r="L31">
        <f>I33-I34</f>
        <v>16.5</v>
      </c>
      <c r="M31" t="s">
        <v>17</v>
      </c>
    </row>
    <row r="32" spans="1:13" ht="14.25" customHeight="1" x14ac:dyDescent="0.25">
      <c r="A32" t="s">
        <v>20</v>
      </c>
      <c r="B32">
        <v>100</v>
      </c>
      <c r="C32" t="s">
        <v>17</v>
      </c>
      <c r="D32" t="s">
        <v>21</v>
      </c>
      <c r="E32" s="5">
        <f>E29/E27/B32/E31^2</f>
        <v>5.9006431039511836E-2</v>
      </c>
      <c r="G32" s="11"/>
      <c r="H32" t="s">
        <v>20</v>
      </c>
      <c r="I32">
        <v>100</v>
      </c>
      <c r="J32" t="s">
        <v>17</v>
      </c>
      <c r="K32" t="s">
        <v>21</v>
      </c>
      <c r="L32" s="5">
        <f>L29/L27/I32/L31^2</f>
        <v>2.3272927549662214E-2</v>
      </c>
    </row>
    <row r="33" spans="1:13" ht="14.25" customHeight="1" x14ac:dyDescent="0.25">
      <c r="A33" t="s">
        <v>22</v>
      </c>
      <c r="B33" s="4">
        <f>'T. PRISMÁTICO'!K25*100</f>
        <v>20</v>
      </c>
      <c r="C33" t="s">
        <v>17</v>
      </c>
      <c r="D33" t="s">
        <v>23</v>
      </c>
      <c r="E33" s="5">
        <f>IF(E32&gt;B35,B35,E32)</f>
        <v>5.9006431039511836E-2</v>
      </c>
      <c r="G33" s="11"/>
      <c r="H33" t="s">
        <v>22</v>
      </c>
      <c r="I33" s="4">
        <f>B33</f>
        <v>20</v>
      </c>
      <c r="J33" t="s">
        <v>17</v>
      </c>
      <c r="K33" t="s">
        <v>23</v>
      </c>
      <c r="L33" s="5">
        <f>IF(L32&gt;I35,I35,L32)</f>
        <v>2.3272927549662214E-2</v>
      </c>
    </row>
    <row r="34" spans="1:13" ht="14.25" customHeight="1" x14ac:dyDescent="0.3">
      <c r="A34" t="s">
        <v>24</v>
      </c>
      <c r="B34" s="4">
        <f>B14</f>
        <v>3.5</v>
      </c>
      <c r="D34" t="s">
        <v>25</v>
      </c>
      <c r="E34" s="4">
        <f>E27*B32*E31/E28*(1-SQRT(1-2*E33))</f>
        <v>5.6089614920651432</v>
      </c>
      <c r="F34" t="s">
        <v>26</v>
      </c>
      <c r="G34" s="11"/>
      <c r="H34" t="s">
        <v>24</v>
      </c>
      <c r="I34" s="4">
        <f>B14</f>
        <v>3.5</v>
      </c>
      <c r="K34" t="s">
        <v>25</v>
      </c>
      <c r="L34" s="4">
        <f>L27*I32*L31/L28*(1-SQRT(1-2*L33))</f>
        <v>2.1704905243110653</v>
      </c>
      <c r="M34" t="s">
        <v>26</v>
      </c>
    </row>
    <row r="35" spans="1:13" ht="14.25" customHeight="1" x14ac:dyDescent="0.3">
      <c r="A35" t="s">
        <v>27</v>
      </c>
      <c r="B35">
        <v>0.376</v>
      </c>
      <c r="D35" t="s">
        <v>28</v>
      </c>
      <c r="E35" s="4">
        <f>E27*B32*E31/E28*(E32-E33)/(1-B34/E31)</f>
        <v>0</v>
      </c>
      <c r="F35" t="s">
        <v>26</v>
      </c>
      <c r="G35" s="11"/>
      <c r="H35" t="s">
        <v>27</v>
      </c>
      <c r="I35">
        <v>0.376</v>
      </c>
      <c r="K35" t="s">
        <v>28</v>
      </c>
      <c r="L35" s="4">
        <f>L27*I32*L31/L28*(L32-L33)/(1-I34/L31)</f>
        <v>0</v>
      </c>
      <c r="M35" t="s">
        <v>26</v>
      </c>
    </row>
    <row r="36" spans="1:13" ht="14.25" customHeight="1" x14ac:dyDescent="0.25">
      <c r="A36" t="s">
        <v>29</v>
      </c>
      <c r="B36" s="4">
        <f>'T. PRISMÁTICO'!C131</f>
        <v>27.86699127128783</v>
      </c>
      <c r="C36" t="s">
        <v>30</v>
      </c>
      <c r="D36" s="7" t="s">
        <v>31</v>
      </c>
      <c r="E36" s="8">
        <f>E34+E35</f>
        <v>5.6089614920651432</v>
      </c>
      <c r="F36" s="7" t="s">
        <v>26</v>
      </c>
      <c r="G36" s="11"/>
      <c r="H36" t="s">
        <v>29</v>
      </c>
      <c r="I36" s="4">
        <f>'T. PRISMÁTICO'!C133</f>
        <v>10.991114993033078</v>
      </c>
      <c r="J36" t="s">
        <v>30</v>
      </c>
      <c r="K36" s="7" t="s">
        <v>31</v>
      </c>
      <c r="L36" s="8">
        <f>L34+L35</f>
        <v>2.1704905243110653</v>
      </c>
      <c r="M36" s="7" t="s">
        <v>26</v>
      </c>
    </row>
    <row r="37" spans="1:13" ht="14.25" customHeight="1" x14ac:dyDescent="0.25">
      <c r="D37" s="7" t="s">
        <v>32</v>
      </c>
      <c r="E37" s="8">
        <f>E35</f>
        <v>0</v>
      </c>
      <c r="F37" s="7" t="s">
        <v>26</v>
      </c>
      <c r="G37" s="11"/>
      <c r="K37" s="7" t="s">
        <v>32</v>
      </c>
      <c r="L37" s="8">
        <f>L35</f>
        <v>0</v>
      </c>
      <c r="M37" s="7" t="s">
        <v>26</v>
      </c>
    </row>
    <row r="38" spans="1:13" ht="14.25" customHeight="1" x14ac:dyDescent="0.25">
      <c r="A38" s="106" t="s">
        <v>110</v>
      </c>
      <c r="B38" s="106"/>
      <c r="C38" s="106"/>
      <c r="D38" s="106"/>
      <c r="E38" s="106"/>
      <c r="F38" s="106"/>
      <c r="G38" s="11"/>
      <c r="H38" s="106" t="s">
        <v>110</v>
      </c>
      <c r="I38" s="106"/>
      <c r="J38" s="106"/>
      <c r="K38" s="106"/>
      <c r="L38" s="106"/>
      <c r="M38" s="106"/>
    </row>
    <row r="39" spans="1:13" ht="14.25" customHeight="1" x14ac:dyDescent="0.25">
      <c r="A39" s="1" t="s">
        <v>99</v>
      </c>
      <c r="B39" s="1">
        <f>0.25*B32*B33</f>
        <v>500</v>
      </c>
      <c r="C39" s="1" t="s">
        <v>26</v>
      </c>
      <c r="D39" s="1" t="s">
        <v>102</v>
      </c>
      <c r="E39" s="1">
        <f>'T. PRISMÁTICO'!M17</f>
        <v>0.125</v>
      </c>
      <c r="F39" s="1" t="s">
        <v>107</v>
      </c>
      <c r="G39" s="11"/>
      <c r="H39" s="1" t="s">
        <v>99</v>
      </c>
      <c r="I39" s="1">
        <f>0.25*I32*I33</f>
        <v>500</v>
      </c>
      <c r="J39" s="1" t="s">
        <v>26</v>
      </c>
      <c r="K39" s="1" t="s">
        <v>102</v>
      </c>
      <c r="L39" s="1">
        <f>'T. PRISMÁTICO'!M17</f>
        <v>0.125</v>
      </c>
      <c r="M39" s="1" t="s">
        <v>107</v>
      </c>
    </row>
    <row r="40" spans="1:13" ht="14.25" customHeight="1" x14ac:dyDescent="0.25">
      <c r="A40" s="1" t="s">
        <v>98</v>
      </c>
      <c r="B40" s="44">
        <f>E36/B39</f>
        <v>1.1217922984130286E-2</v>
      </c>
      <c r="C40" s="1"/>
      <c r="D40" s="1" t="s">
        <v>100</v>
      </c>
      <c r="E40" s="44">
        <f>E28*(B42/10)/20/B31/(B41-0.375)/B43/(E39/10)</f>
        <v>6.5726773801307965E-3</v>
      </c>
      <c r="F40" s="1"/>
      <c r="G40" s="11"/>
      <c r="H40" s="1" t="s">
        <v>98</v>
      </c>
      <c r="I40" s="44">
        <f>L36/I39</f>
        <v>4.3409810486221305E-3</v>
      </c>
      <c r="J40" s="1"/>
      <c r="K40" s="1" t="s">
        <v>100</v>
      </c>
      <c r="L40" s="44">
        <f>L28*(I42/10)/20/I31/(I41-0.375)/I43/(L39/10)</f>
        <v>4.20651352328371E-3</v>
      </c>
      <c r="M40" s="1"/>
    </row>
    <row r="41" spans="1:13" ht="14.25" customHeight="1" x14ac:dyDescent="0.25">
      <c r="A41" s="1" t="s">
        <v>109</v>
      </c>
      <c r="B41" s="45">
        <v>1.5</v>
      </c>
      <c r="C41" s="1"/>
      <c r="D41" s="1" t="s">
        <v>103</v>
      </c>
      <c r="E41" s="46">
        <f>IF(22.5*E40+SQRT((22.5*E40)^2+4*E40/B40)&lt;1,1,22.5*E40+SQRT((22.5*E40)^2+4*E40/B40))</f>
        <v>1.6859048715382752</v>
      </c>
      <c r="F41" s="1"/>
      <c r="G41" s="11"/>
      <c r="H41" s="1" t="s">
        <v>109</v>
      </c>
      <c r="I41" s="45">
        <v>1.5</v>
      </c>
      <c r="J41" s="1"/>
      <c r="K41" s="1" t="s">
        <v>103</v>
      </c>
      <c r="L41" s="46">
        <f>IF(22.5*L40+SQRT((22.5*L40)^2+4*L40/I40)&lt;1,1,22.5*L40+SQRT((22.5*L40)^2+4*L40/I40))</f>
        <v>2.0657002764461323</v>
      </c>
      <c r="M41" s="1"/>
    </row>
    <row r="42" spans="1:13" ht="14.25" customHeight="1" x14ac:dyDescent="0.25">
      <c r="A42" s="1" t="s">
        <v>116</v>
      </c>
      <c r="B42" s="50">
        <f>'T. PRISMÁTICO'!M131</f>
        <v>12.5</v>
      </c>
      <c r="C42" s="1" t="s">
        <v>107</v>
      </c>
      <c r="D42" s="1" t="s">
        <v>104</v>
      </c>
      <c r="E42" s="46">
        <f>IF(SQRT(3*E40*E28/B31/(B27/100))&lt;1,1,SQRT(3*E40*E28/B31/(B27/100)))</f>
        <v>1.2372966970335337</v>
      </c>
      <c r="F42" s="1"/>
      <c r="G42" s="11"/>
      <c r="H42" s="1" t="s">
        <v>116</v>
      </c>
      <c r="I42" s="50">
        <f>'T. PRISMÁTICO'!M133</f>
        <v>8</v>
      </c>
      <c r="J42" s="1" t="s">
        <v>107</v>
      </c>
      <c r="K42" s="1" t="s">
        <v>104</v>
      </c>
      <c r="L42" s="46">
        <f>IF(SQRT(3*L40*I28/I31/(I27/100))&lt;1,1,SQRT(3*L40*L28/I31/(I27/100)))</f>
        <v>0.98983735762682712</v>
      </c>
      <c r="M42" s="1"/>
    </row>
    <row r="43" spans="1:13" ht="14.25" customHeight="1" x14ac:dyDescent="0.25">
      <c r="A43" s="1" t="s">
        <v>101</v>
      </c>
      <c r="B43" s="1">
        <f>'T. PRISMÁTICO'!M12*100</f>
        <v>21000</v>
      </c>
      <c r="C43" s="1" t="s">
        <v>108</v>
      </c>
      <c r="D43" s="47" t="s">
        <v>97</v>
      </c>
      <c r="E43" s="48">
        <f>IF(E41&gt;E42,E42,E41)</f>
        <v>1.2372966970335337</v>
      </c>
      <c r="F43" s="1"/>
      <c r="G43" s="11"/>
      <c r="H43" s="1" t="s">
        <v>101</v>
      </c>
      <c r="I43" s="1">
        <f>'T. PRISMÁTICO'!M12*100</f>
        <v>21000</v>
      </c>
      <c r="J43" s="1" t="s">
        <v>108</v>
      </c>
      <c r="K43" s="47" t="s">
        <v>97</v>
      </c>
      <c r="L43" s="48">
        <f>IF(L41&gt;L42,L42,L41)</f>
        <v>0.98983735762682712</v>
      </c>
      <c r="M43" s="1"/>
    </row>
    <row r="44" spans="1:13" ht="14.25" customHeight="1" x14ac:dyDescent="0.35">
      <c r="A44" s="1"/>
      <c r="B44" s="1"/>
      <c r="C44" s="1"/>
      <c r="D44" s="51" t="s">
        <v>115</v>
      </c>
      <c r="E44" s="52">
        <f>E43*E36</f>
        <v>6.9399495279204828</v>
      </c>
      <c r="F44" s="1"/>
      <c r="G44" s="11"/>
      <c r="H44" s="1"/>
      <c r="I44" s="1"/>
      <c r="J44" s="1"/>
      <c r="K44" s="51" t="s">
        <v>115</v>
      </c>
      <c r="L44" s="52">
        <f>L43*L36</f>
        <v>2.1484326053381313</v>
      </c>
      <c r="M44" s="1"/>
    </row>
    <row r="45" spans="1:13" ht="14.25" customHeight="1" x14ac:dyDescent="0.25">
      <c r="A45" s="45"/>
      <c r="B45" s="45"/>
      <c r="C45" s="45"/>
      <c r="D45" s="67"/>
      <c r="E45" s="68"/>
      <c r="F45" s="45"/>
      <c r="G45" s="11"/>
      <c r="H45" s="45"/>
      <c r="I45" s="45"/>
      <c r="J45" s="67"/>
      <c r="K45" s="68"/>
      <c r="L45" s="67"/>
      <c r="M45" s="45"/>
    </row>
    <row r="46" spans="1:13" ht="14.25" customHeight="1" x14ac:dyDescent="0.25">
      <c r="A46" s="105" t="s">
        <v>153</v>
      </c>
      <c r="B46" s="105"/>
      <c r="C46" s="105"/>
      <c r="D46" s="105"/>
      <c r="E46" s="105"/>
      <c r="F46" s="105"/>
      <c r="G46" s="11"/>
      <c r="H46" s="105" t="s">
        <v>154</v>
      </c>
      <c r="I46" s="105"/>
      <c r="J46" s="105"/>
      <c r="K46" s="105"/>
      <c r="L46" s="105"/>
      <c r="M46" s="105"/>
    </row>
    <row r="47" spans="1:13" ht="14.25" customHeight="1" x14ac:dyDescent="0.25">
      <c r="A47" t="s">
        <v>7</v>
      </c>
      <c r="B47">
        <f>B7</f>
        <v>40</v>
      </c>
      <c r="C47" t="s">
        <v>3</v>
      </c>
      <c r="D47" t="s">
        <v>8</v>
      </c>
      <c r="E47" s="4">
        <f>0.85*B47/10/B49</f>
        <v>2.4285714285714288</v>
      </c>
      <c r="F47" t="s">
        <v>9</v>
      </c>
      <c r="G47" s="11"/>
      <c r="H47" t="s">
        <v>7</v>
      </c>
      <c r="I47">
        <f>B7</f>
        <v>40</v>
      </c>
      <c r="J47" t="s">
        <v>3</v>
      </c>
      <c r="K47" t="s">
        <v>8</v>
      </c>
      <c r="L47" s="4">
        <f>0.85*I47/10/I49</f>
        <v>2.4285714285714288</v>
      </c>
      <c r="M47" t="s">
        <v>9</v>
      </c>
    </row>
    <row r="48" spans="1:13" ht="14.25" customHeight="1" x14ac:dyDescent="0.25">
      <c r="A48" t="s">
        <v>10</v>
      </c>
      <c r="B48">
        <f>B8</f>
        <v>50</v>
      </c>
      <c r="C48" t="s">
        <v>9</v>
      </c>
      <c r="D48" t="s">
        <v>11</v>
      </c>
      <c r="E48" s="4">
        <f>B48/B50</f>
        <v>43.478260869565219</v>
      </c>
      <c r="F48" t="s">
        <v>9</v>
      </c>
      <c r="G48" s="11"/>
      <c r="H48" t="s">
        <v>10</v>
      </c>
      <c r="I48">
        <f>B8</f>
        <v>50</v>
      </c>
      <c r="J48" t="s">
        <v>9</v>
      </c>
      <c r="K48" t="s">
        <v>11</v>
      </c>
      <c r="L48" s="4">
        <f>I48/I50</f>
        <v>43.478260869565219</v>
      </c>
      <c r="M48" t="s">
        <v>9</v>
      </c>
    </row>
    <row r="49" spans="1:13" ht="14.25" customHeight="1" x14ac:dyDescent="0.25">
      <c r="A49" t="s">
        <v>12</v>
      </c>
      <c r="B49">
        <v>1.4</v>
      </c>
      <c r="D49" t="s">
        <v>13</v>
      </c>
      <c r="E49">
        <f>B51*B56*100</f>
        <v>383.06628864000004</v>
      </c>
      <c r="F49" t="s">
        <v>14</v>
      </c>
      <c r="G49" s="11"/>
      <c r="H49" t="s">
        <v>12</v>
      </c>
      <c r="I49">
        <v>1.4</v>
      </c>
      <c r="K49" t="s">
        <v>13</v>
      </c>
      <c r="L49">
        <f>I51*I56*100</f>
        <v>882.42055775999995</v>
      </c>
      <c r="M49" t="s">
        <v>14</v>
      </c>
    </row>
    <row r="50" spans="1:13" ht="14.25" customHeight="1" x14ac:dyDescent="0.25">
      <c r="A50" t="s">
        <v>15</v>
      </c>
      <c r="B50">
        <v>1.1499999999999999</v>
      </c>
      <c r="D50" t="s">
        <v>16</v>
      </c>
      <c r="E50" s="6">
        <f>SQRT(E49/E47/B52/B55)</f>
        <v>2.0481775609432495</v>
      </c>
      <c r="F50" t="s">
        <v>17</v>
      </c>
      <c r="G50" s="11"/>
      <c r="H50" t="s">
        <v>15</v>
      </c>
      <c r="I50">
        <v>1.1499999999999999</v>
      </c>
      <c r="K50" t="s">
        <v>16</v>
      </c>
      <c r="L50" s="6">
        <f>SQRT(L49/L47/I52/I55)</f>
        <v>3.1086257885706838</v>
      </c>
      <c r="M50" t="s">
        <v>17</v>
      </c>
    </row>
    <row r="51" spans="1:13" ht="14.25" customHeight="1" x14ac:dyDescent="0.25">
      <c r="A51" t="s">
        <v>18</v>
      </c>
      <c r="B51">
        <v>1.4</v>
      </c>
      <c r="D51" t="s">
        <v>19</v>
      </c>
      <c r="E51">
        <f>B53-B54</f>
        <v>16.5</v>
      </c>
      <c r="F51" t="s">
        <v>17</v>
      </c>
      <c r="G51" s="11"/>
      <c r="H51" t="s">
        <v>18</v>
      </c>
      <c r="I51">
        <v>1.4</v>
      </c>
      <c r="K51" t="s">
        <v>19</v>
      </c>
      <c r="L51">
        <f>I53-I54</f>
        <v>16.5</v>
      </c>
      <c r="M51" t="s">
        <v>17</v>
      </c>
    </row>
    <row r="52" spans="1:13" ht="14.25" customHeight="1" x14ac:dyDescent="0.25">
      <c r="A52" t="s">
        <v>20</v>
      </c>
      <c r="B52">
        <v>100</v>
      </c>
      <c r="C52" t="s">
        <v>17</v>
      </c>
      <c r="D52" t="s">
        <v>21</v>
      </c>
      <c r="E52" s="5">
        <f>E49/E47/B52/E51^2</f>
        <v>5.7936888035002429E-3</v>
      </c>
      <c r="G52" s="11"/>
      <c r="H52" t="s">
        <v>20</v>
      </c>
      <c r="I52">
        <v>100</v>
      </c>
      <c r="J52" t="s">
        <v>17</v>
      </c>
      <c r="K52" t="s">
        <v>21</v>
      </c>
      <c r="L52" s="5">
        <f>L49/L47/I52/L51^2</f>
        <v>1.3346175993777343E-2</v>
      </c>
    </row>
    <row r="53" spans="1:13" ht="14.25" customHeight="1" x14ac:dyDescent="0.25">
      <c r="A53" t="s">
        <v>22</v>
      </c>
      <c r="B53" s="4">
        <f>'T. PRISMÁTICO'!K26*100</f>
        <v>20</v>
      </c>
      <c r="C53" t="s">
        <v>17</v>
      </c>
      <c r="D53" t="s">
        <v>23</v>
      </c>
      <c r="E53" s="5">
        <f>IF(E52&gt;B55,B55,E52)</f>
        <v>5.7936888035002429E-3</v>
      </c>
      <c r="G53" s="11"/>
      <c r="H53" t="s">
        <v>22</v>
      </c>
      <c r="I53" s="4">
        <f>B53</f>
        <v>20</v>
      </c>
      <c r="J53" t="s">
        <v>17</v>
      </c>
      <c r="K53" t="s">
        <v>23</v>
      </c>
      <c r="L53" s="5">
        <f>IF(L52&gt;I55,I55,L52)</f>
        <v>1.3346175993777343E-2</v>
      </c>
    </row>
    <row r="54" spans="1:13" ht="14.25" customHeight="1" x14ac:dyDescent="0.3">
      <c r="A54" t="s">
        <v>24</v>
      </c>
      <c r="B54" s="4">
        <f>I34</f>
        <v>3.5</v>
      </c>
      <c r="D54" t="s">
        <v>25</v>
      </c>
      <c r="E54" s="4">
        <f>E47*B52*E51/E48*(1-SQRT(1-2*E53))</f>
        <v>0.53552704897246284</v>
      </c>
      <c r="F54" t="s">
        <v>26</v>
      </c>
      <c r="G54" s="11"/>
      <c r="H54" t="s">
        <v>24</v>
      </c>
      <c r="I54" s="4">
        <f>I34</f>
        <v>3.5</v>
      </c>
      <c r="J54" t="s">
        <v>17</v>
      </c>
      <c r="K54" t="s">
        <v>25</v>
      </c>
      <c r="L54" s="4">
        <f>L47*I52*L51/L48*(1-SQRT(1-2*L53))</f>
        <v>1.2383603579164093</v>
      </c>
      <c r="M54" t="s">
        <v>26</v>
      </c>
    </row>
    <row r="55" spans="1:13" ht="14.25" customHeight="1" x14ac:dyDescent="0.3">
      <c r="A55" t="s">
        <v>27</v>
      </c>
      <c r="B55">
        <v>0.376</v>
      </c>
      <c r="D55" t="s">
        <v>28</v>
      </c>
      <c r="E55" s="4">
        <f>E47*B52*E51/E48*(E52-E53)/(1-B54/E51)</f>
        <v>0</v>
      </c>
      <c r="F55" t="s">
        <v>26</v>
      </c>
      <c r="G55" s="11"/>
      <c r="H55" t="s">
        <v>27</v>
      </c>
      <c r="I55">
        <v>0.376</v>
      </c>
      <c r="K55" t="s">
        <v>28</v>
      </c>
      <c r="L55" s="4">
        <f>L47*I52*L51/L48*(L52-L53)/(1-I54/L51)</f>
        <v>0</v>
      </c>
      <c r="M55" t="s">
        <v>26</v>
      </c>
    </row>
    <row r="56" spans="1:13" ht="14.25" customHeight="1" x14ac:dyDescent="0.25">
      <c r="A56" t="s">
        <v>29</v>
      </c>
      <c r="B56" s="4">
        <f>'T. PRISMÁTICO'!C137</f>
        <v>2.7361877760000004</v>
      </c>
      <c r="C56" t="s">
        <v>30</v>
      </c>
      <c r="D56" s="7" t="s">
        <v>31</v>
      </c>
      <c r="E56" s="8">
        <f>E54+E55</f>
        <v>0.53552704897246284</v>
      </c>
      <c r="F56" s="7" t="s">
        <v>26</v>
      </c>
      <c r="G56" s="11"/>
      <c r="H56" t="s">
        <v>29</v>
      </c>
      <c r="I56" s="4">
        <f>'T. PRISMÁTICO'!C139</f>
        <v>6.3030039839999992</v>
      </c>
      <c r="J56" t="s">
        <v>30</v>
      </c>
      <c r="K56" s="7" t="s">
        <v>31</v>
      </c>
      <c r="L56" s="8">
        <f>L54+L55</f>
        <v>1.2383603579164093</v>
      </c>
      <c r="M56" s="7" t="s">
        <v>26</v>
      </c>
    </row>
    <row r="57" spans="1:13" ht="14.25" customHeight="1" x14ac:dyDescent="0.25">
      <c r="B57" s="4"/>
      <c r="D57" s="7" t="s">
        <v>32</v>
      </c>
      <c r="E57" s="8">
        <f>E55</f>
        <v>0</v>
      </c>
      <c r="F57" s="7" t="s">
        <v>26</v>
      </c>
      <c r="G57" s="11"/>
      <c r="K57" s="7" t="s">
        <v>32</v>
      </c>
      <c r="L57" s="8">
        <f>L55</f>
        <v>0</v>
      </c>
      <c r="M57" s="7" t="s">
        <v>26</v>
      </c>
    </row>
    <row r="58" spans="1:13" ht="14.25" customHeight="1" x14ac:dyDescent="0.25">
      <c r="A58" s="106" t="s">
        <v>110</v>
      </c>
      <c r="B58" s="106"/>
      <c r="C58" s="106"/>
      <c r="D58" s="106"/>
      <c r="E58" s="106"/>
      <c r="F58" s="106"/>
      <c r="G58" s="11"/>
      <c r="H58" s="106" t="s">
        <v>110</v>
      </c>
      <c r="I58" s="106"/>
      <c r="J58" s="106"/>
      <c r="K58" s="106"/>
      <c r="L58" s="106"/>
      <c r="M58" s="106"/>
    </row>
    <row r="59" spans="1:13" ht="14.25" customHeight="1" x14ac:dyDescent="0.25">
      <c r="A59" s="1" t="s">
        <v>99</v>
      </c>
      <c r="B59" s="1">
        <f>0.25*B52*B53</f>
        <v>500</v>
      </c>
      <c r="C59" s="1" t="s">
        <v>26</v>
      </c>
      <c r="D59" s="1" t="s">
        <v>102</v>
      </c>
      <c r="E59" s="1">
        <f>'T. PRISMÁTICO'!M17</f>
        <v>0.125</v>
      </c>
      <c r="F59" s="1" t="s">
        <v>107</v>
      </c>
      <c r="G59" s="11"/>
      <c r="H59" s="1" t="s">
        <v>99</v>
      </c>
      <c r="I59" s="1">
        <f>0.25*I52*I53</f>
        <v>500</v>
      </c>
      <c r="J59" s="1" t="s">
        <v>26</v>
      </c>
      <c r="K59" s="1" t="s">
        <v>102</v>
      </c>
      <c r="L59" s="1">
        <f>'T. PRISMÁTICO'!M17</f>
        <v>0.125</v>
      </c>
      <c r="M59" s="1" t="s">
        <v>107</v>
      </c>
    </row>
    <row r="60" spans="1:13" ht="14.25" customHeight="1" x14ac:dyDescent="0.25">
      <c r="A60" s="1" t="s">
        <v>98</v>
      </c>
      <c r="B60" s="44">
        <f>E56/B59</f>
        <v>1.0710540979449257E-3</v>
      </c>
      <c r="C60" s="1"/>
      <c r="D60" s="1" t="s">
        <v>100</v>
      </c>
      <c r="E60" s="44">
        <f>E48*(B62/10)/20/B51/(B61-0.375)/B63/(E59/10)</f>
        <v>4.20651352328371E-3</v>
      </c>
      <c r="F60" s="1"/>
      <c r="G60" s="11"/>
      <c r="H60" s="1" t="s">
        <v>98</v>
      </c>
      <c r="I60" s="44">
        <f>L56/I59</f>
        <v>2.4767207158328188E-3</v>
      </c>
      <c r="J60" s="1"/>
      <c r="K60" s="1" t="s">
        <v>100</v>
      </c>
      <c r="L60" s="44">
        <f>L48*(I62/10)/20/I51/(I61-0.375)/I63/(L59/10)</f>
        <v>4.20651352328371E-3</v>
      </c>
      <c r="M60" s="1"/>
    </row>
    <row r="61" spans="1:13" ht="14.25" customHeight="1" x14ac:dyDescent="0.25">
      <c r="A61" s="1" t="s">
        <v>109</v>
      </c>
      <c r="B61" s="45">
        <v>1.5</v>
      </c>
      <c r="C61" s="1"/>
      <c r="D61" s="1" t="s">
        <v>103</v>
      </c>
      <c r="E61" s="46">
        <f>IF(22.5*E60+SQRT((22.5*E60)^2+4*E60/B60)&lt;1,1,22.5*E60+SQRT((22.5*E60)^2+4*E60/B60))</f>
        <v>4.0593364332609232</v>
      </c>
      <c r="F61" s="1"/>
      <c r="G61" s="11"/>
      <c r="H61" s="1" t="s">
        <v>109</v>
      </c>
      <c r="I61" s="45">
        <v>1.5</v>
      </c>
      <c r="J61" s="1"/>
      <c r="K61" s="1" t="s">
        <v>103</v>
      </c>
      <c r="L61" s="46">
        <f>IF(22.5*L60+SQRT((22.5*L60)^2+4*L60/I60)&lt;1,1,22.5*L60+SQRT((22.5*L60)^2+4*L60/I60))</f>
        <v>2.7028337471973209</v>
      </c>
      <c r="M61" s="1"/>
    </row>
    <row r="62" spans="1:13" ht="14.25" customHeight="1" x14ac:dyDescent="0.25">
      <c r="A62" s="1" t="s">
        <v>116</v>
      </c>
      <c r="B62" s="50">
        <f>'T. PRISMÁTICO'!M137</f>
        <v>8</v>
      </c>
      <c r="C62" s="1" t="s">
        <v>107</v>
      </c>
      <c r="D62" s="1" t="s">
        <v>104</v>
      </c>
      <c r="E62" s="46">
        <f>IF(SQRT(3*E60*E48/B51/(B47/100))&lt;1,1,SQRT(3*E60*E48/B51/(B47/100)))</f>
        <v>1</v>
      </c>
      <c r="F62" s="1"/>
      <c r="G62" s="11"/>
      <c r="H62" s="1" t="s">
        <v>116</v>
      </c>
      <c r="I62" s="50">
        <f>'T. PRISMÁTICO'!M139</f>
        <v>8</v>
      </c>
      <c r="J62" s="1" t="s">
        <v>107</v>
      </c>
      <c r="K62" s="1" t="s">
        <v>104</v>
      </c>
      <c r="L62" s="46">
        <f>IF(SQRT(3*L60*I48/I51/(I47/100))&lt;1,1,SQRT(3*L60*L48/I51/(I47/100)))</f>
        <v>0.98983735762682712</v>
      </c>
      <c r="M62" s="1"/>
    </row>
    <row r="63" spans="1:13" ht="14.25" customHeight="1" x14ac:dyDescent="0.25">
      <c r="A63" s="1" t="s">
        <v>101</v>
      </c>
      <c r="B63" s="1">
        <f>'T. PRISMÁTICO'!M12*100</f>
        <v>21000</v>
      </c>
      <c r="C63" s="1" t="s">
        <v>108</v>
      </c>
      <c r="D63" s="47" t="s">
        <v>97</v>
      </c>
      <c r="E63" s="48">
        <f>IF(E61&gt;E62,E62,E61)</f>
        <v>1</v>
      </c>
      <c r="F63" s="1"/>
      <c r="G63" s="11"/>
      <c r="H63" s="1" t="s">
        <v>101</v>
      </c>
      <c r="I63" s="1">
        <f>'T. PRISMÁTICO'!M12*100</f>
        <v>21000</v>
      </c>
      <c r="J63" s="1" t="s">
        <v>108</v>
      </c>
      <c r="K63" s="47" t="s">
        <v>97</v>
      </c>
      <c r="L63" s="48">
        <f>IF(L61&gt;L62,L62,L61)</f>
        <v>0.98983735762682712</v>
      </c>
      <c r="M63" s="1"/>
    </row>
    <row r="64" spans="1:13" ht="14.25" customHeight="1" x14ac:dyDescent="0.35">
      <c r="A64" s="1"/>
      <c r="B64" s="1"/>
      <c r="C64" s="1"/>
      <c r="D64" s="51" t="s">
        <v>115</v>
      </c>
      <c r="E64" s="52">
        <f>E63*E56</f>
        <v>0.53552704897246284</v>
      </c>
      <c r="F64" s="1"/>
      <c r="G64" s="11"/>
      <c r="H64" s="1"/>
      <c r="I64" s="1"/>
      <c r="J64" s="1"/>
      <c r="K64" s="51" t="s">
        <v>115</v>
      </c>
      <c r="L64" s="52">
        <f>L63*L56</f>
        <v>1.2257753444697905</v>
      </c>
      <c r="M64" s="1"/>
    </row>
    <row r="65" spans="1:13" ht="14.25" customHeight="1" x14ac:dyDescent="0.25">
      <c r="A65" s="45"/>
      <c r="B65" s="45"/>
      <c r="C65" s="45"/>
      <c r="D65" s="21"/>
      <c r="E65" s="107"/>
      <c r="F65" s="45"/>
      <c r="G65" s="11"/>
      <c r="H65" s="45"/>
      <c r="I65" s="45"/>
      <c r="J65" s="45"/>
      <c r="K65" s="21"/>
      <c r="L65" s="107"/>
      <c r="M65" s="45"/>
    </row>
    <row r="66" spans="1:13" ht="14.25" customHeight="1" x14ac:dyDescent="0.25">
      <c r="A66" s="45"/>
      <c r="B66" s="45"/>
      <c r="C66" s="45"/>
      <c r="D66" s="21"/>
      <c r="E66" s="107"/>
      <c r="F66" s="45"/>
      <c r="G66" s="11"/>
      <c r="H66" s="45"/>
      <c r="I66" s="45"/>
      <c r="J66" s="45"/>
      <c r="K66" s="21"/>
      <c r="L66" s="107"/>
      <c r="M66" s="45"/>
    </row>
    <row r="67" spans="1:13" ht="14.25" customHeight="1" x14ac:dyDescent="0.25">
      <c r="A67" s="11"/>
      <c r="B67" s="64"/>
      <c r="C67" s="11"/>
      <c r="D67" s="108"/>
      <c r="E67" s="109"/>
      <c r="F67" s="108"/>
      <c r="G67" s="11"/>
      <c r="H67" s="11"/>
      <c r="I67" s="11"/>
      <c r="J67" s="11"/>
      <c r="K67" s="108"/>
      <c r="L67" s="109"/>
      <c r="M67" s="108"/>
    </row>
    <row r="68" spans="1:13" ht="14.25" customHeight="1" x14ac:dyDescent="0.25">
      <c r="A68" s="105" t="s">
        <v>155</v>
      </c>
      <c r="B68" s="105"/>
      <c r="C68" s="105"/>
      <c r="D68" s="105"/>
      <c r="E68" s="105"/>
      <c r="F68" s="105"/>
      <c r="G68" s="11"/>
      <c r="H68" s="105" t="s">
        <v>156</v>
      </c>
      <c r="I68" s="105"/>
      <c r="J68" s="105"/>
      <c r="K68" s="105"/>
      <c r="L68" s="105"/>
      <c r="M68" s="105"/>
    </row>
    <row r="69" spans="1:13" ht="14.25" customHeight="1" x14ac:dyDescent="0.25">
      <c r="A69" t="s">
        <v>7</v>
      </c>
      <c r="B69">
        <f>B7</f>
        <v>40</v>
      </c>
      <c r="C69" t="s">
        <v>3</v>
      </c>
      <c r="D69" t="s">
        <v>8</v>
      </c>
      <c r="E69" s="4">
        <f>0.85*B69/10/B71</f>
        <v>2.4285714285714288</v>
      </c>
      <c r="F69" t="s">
        <v>9</v>
      </c>
      <c r="G69" s="11"/>
      <c r="H69" t="s">
        <v>7</v>
      </c>
      <c r="I69">
        <f>B69</f>
        <v>40</v>
      </c>
      <c r="J69" t="s">
        <v>3</v>
      </c>
      <c r="K69" t="s">
        <v>8</v>
      </c>
      <c r="L69" s="4">
        <f>0.85*I69/10/I71</f>
        <v>2.4285714285714288</v>
      </c>
      <c r="M69" t="s">
        <v>9</v>
      </c>
    </row>
    <row r="70" spans="1:13" ht="14.25" customHeight="1" x14ac:dyDescent="0.25">
      <c r="A70" t="s">
        <v>10</v>
      </c>
      <c r="B70">
        <f>B8</f>
        <v>50</v>
      </c>
      <c r="C70" t="s">
        <v>9</v>
      </c>
      <c r="D70" t="s">
        <v>11</v>
      </c>
      <c r="E70" s="4">
        <f>B70/B72</f>
        <v>43.478260869565219</v>
      </c>
      <c r="F70" t="s">
        <v>9</v>
      </c>
      <c r="G70" s="11"/>
      <c r="H70" t="s">
        <v>10</v>
      </c>
      <c r="I70">
        <f>B8</f>
        <v>50</v>
      </c>
      <c r="J70" t="s">
        <v>9</v>
      </c>
      <c r="K70" t="s">
        <v>11</v>
      </c>
      <c r="L70" s="4">
        <f>I70/I72</f>
        <v>43.478260869565219</v>
      </c>
      <c r="M70" t="s">
        <v>9</v>
      </c>
    </row>
    <row r="71" spans="1:13" ht="14.25" customHeight="1" x14ac:dyDescent="0.25">
      <c r="A71" t="s">
        <v>12</v>
      </c>
      <c r="B71">
        <v>1.4</v>
      </c>
      <c r="D71" t="s">
        <v>13</v>
      </c>
      <c r="E71">
        <f>B73*B78*100</f>
        <v>1492.4046412799999</v>
      </c>
      <c r="F71" t="s">
        <v>14</v>
      </c>
      <c r="G71" s="11"/>
      <c r="H71" t="s">
        <v>12</v>
      </c>
      <c r="I71">
        <v>1.4</v>
      </c>
      <c r="K71" t="s">
        <v>13</v>
      </c>
      <c r="L71">
        <f>I73*I78*100</f>
        <v>2404.4296998399996</v>
      </c>
      <c r="M71" t="s">
        <v>14</v>
      </c>
    </row>
    <row r="72" spans="1:13" ht="14.25" customHeight="1" x14ac:dyDescent="0.25">
      <c r="A72" t="s">
        <v>15</v>
      </c>
      <c r="B72">
        <v>1.1499999999999999</v>
      </c>
      <c r="D72" t="s">
        <v>16</v>
      </c>
      <c r="E72" s="6">
        <f>SQRT(E71/E69/B74/B77)</f>
        <v>4.0427225072453625</v>
      </c>
      <c r="F72" t="s">
        <v>17</v>
      </c>
      <c r="G72" s="11"/>
      <c r="H72" t="s">
        <v>15</v>
      </c>
      <c r="I72">
        <v>1.1499999999999999</v>
      </c>
      <c r="K72" t="s">
        <v>16</v>
      </c>
      <c r="L72" s="6">
        <f>SQRT(L71/L69/I74/I77)</f>
        <v>5.1314095575249903</v>
      </c>
      <c r="M72" t="s">
        <v>17</v>
      </c>
    </row>
    <row r="73" spans="1:13" ht="14.25" customHeight="1" x14ac:dyDescent="0.25">
      <c r="A73" t="s">
        <v>18</v>
      </c>
      <c r="B73">
        <v>1.4</v>
      </c>
      <c r="D73" t="s">
        <v>19</v>
      </c>
      <c r="E73">
        <f>B75-B76</f>
        <v>16.5</v>
      </c>
      <c r="F73" t="s">
        <v>17</v>
      </c>
      <c r="G73" s="11"/>
      <c r="H73" t="s">
        <v>18</v>
      </c>
      <c r="I73">
        <v>1.4</v>
      </c>
      <c r="K73" t="s">
        <v>19</v>
      </c>
      <c r="L73">
        <f>I75-I76</f>
        <v>16.5</v>
      </c>
      <c r="M73" t="s">
        <v>17</v>
      </c>
    </row>
    <row r="74" spans="1:13" ht="14.25" customHeight="1" x14ac:dyDescent="0.25">
      <c r="A74" t="s">
        <v>20</v>
      </c>
      <c r="B74">
        <v>100</v>
      </c>
      <c r="C74" t="s">
        <v>17</v>
      </c>
      <c r="D74" t="s">
        <v>21</v>
      </c>
      <c r="E74" s="5">
        <f>E71/E69/B74/E73^2</f>
        <v>2.2571884597763728E-2</v>
      </c>
      <c r="G74" s="11"/>
      <c r="H74" t="s">
        <v>20</v>
      </c>
      <c r="I74">
        <v>100</v>
      </c>
      <c r="J74" t="s">
        <v>17</v>
      </c>
      <c r="K74" t="s">
        <v>21</v>
      </c>
      <c r="L74" s="5">
        <f>L71/L69/I74/L73^2</f>
        <v>3.6365814074174892E-2</v>
      </c>
    </row>
    <row r="75" spans="1:13" ht="14.25" customHeight="1" x14ac:dyDescent="0.25">
      <c r="A75" t="s">
        <v>22</v>
      </c>
      <c r="B75" s="4">
        <f>'T. PRISMÁTICO'!K26*100</f>
        <v>20</v>
      </c>
      <c r="C75" t="s">
        <v>17</v>
      </c>
      <c r="D75" t="s">
        <v>23</v>
      </c>
      <c r="E75" s="5">
        <f>IF(E74&gt;B77,B77,E74)</f>
        <v>2.2571884597763728E-2</v>
      </c>
      <c r="G75" s="11"/>
      <c r="H75" t="s">
        <v>22</v>
      </c>
      <c r="I75" s="4">
        <f>B75</f>
        <v>20</v>
      </c>
      <c r="J75" t="s">
        <v>17</v>
      </c>
      <c r="K75" t="s">
        <v>23</v>
      </c>
      <c r="L75" s="5">
        <f>IF(L74&gt;I77,I77,L74)</f>
        <v>3.6365814074174892E-2</v>
      </c>
    </row>
    <row r="76" spans="1:13" ht="14.25" customHeight="1" x14ac:dyDescent="0.3">
      <c r="A76" t="s">
        <v>24</v>
      </c>
      <c r="B76" s="4">
        <f>B54</f>
        <v>3.5</v>
      </c>
      <c r="D76" t="s">
        <v>25</v>
      </c>
      <c r="E76" s="4">
        <f>E69*B74*E73/E70*(1-SQRT(1-2*E75))</f>
        <v>2.104345404063733</v>
      </c>
      <c r="F76" t="s">
        <v>26</v>
      </c>
      <c r="G76" s="11"/>
      <c r="H76" t="s">
        <v>24</v>
      </c>
      <c r="I76" s="4">
        <f>B54</f>
        <v>3.5</v>
      </c>
      <c r="K76" t="s">
        <v>25</v>
      </c>
      <c r="L76" s="4">
        <f>L69*I74*L73/L70*(1-SQRT(1-2*L75))</f>
        <v>3.4148940299003008</v>
      </c>
      <c r="M76" t="s">
        <v>26</v>
      </c>
    </row>
    <row r="77" spans="1:13" ht="14.25" customHeight="1" x14ac:dyDescent="0.3">
      <c r="A77" t="s">
        <v>27</v>
      </c>
      <c r="B77">
        <v>0.376</v>
      </c>
      <c r="D77" t="s">
        <v>28</v>
      </c>
      <c r="E77" s="4">
        <f>E69*B74*E73/E70*(E74-E75)/(1-B76/E73)</f>
        <v>0</v>
      </c>
      <c r="F77" t="s">
        <v>26</v>
      </c>
      <c r="G77" s="11"/>
      <c r="H77" t="s">
        <v>27</v>
      </c>
      <c r="I77">
        <v>0.376</v>
      </c>
      <c r="K77" t="s">
        <v>28</v>
      </c>
      <c r="L77" s="4">
        <f>L69*I74*L73/L70*(L74-L75)/(1-I76/L73)</f>
        <v>0</v>
      </c>
      <c r="M77" t="s">
        <v>26</v>
      </c>
    </row>
    <row r="78" spans="1:13" ht="14.25" customHeight="1" x14ac:dyDescent="0.25">
      <c r="A78" t="s">
        <v>29</v>
      </c>
      <c r="B78" s="4">
        <f>'T. PRISMÁTICO'!C143</f>
        <v>10.660033151999999</v>
      </c>
      <c r="C78" t="s">
        <v>30</v>
      </c>
      <c r="D78" s="7" t="s">
        <v>31</v>
      </c>
      <c r="E78" s="8">
        <f>E76+E77</f>
        <v>2.104345404063733</v>
      </c>
      <c r="F78" s="7" t="s">
        <v>26</v>
      </c>
      <c r="G78" s="11"/>
      <c r="H78" t="s">
        <v>29</v>
      </c>
      <c r="I78" s="4">
        <f>'T. PRISMÁTICO'!C145</f>
        <v>17.174497855999999</v>
      </c>
      <c r="J78" t="s">
        <v>30</v>
      </c>
      <c r="K78" s="7" t="s">
        <v>31</v>
      </c>
      <c r="L78" s="8">
        <f>L76+L77</f>
        <v>3.4148940299003008</v>
      </c>
      <c r="M78" s="7" t="s">
        <v>26</v>
      </c>
    </row>
    <row r="79" spans="1:13" ht="14.25" customHeight="1" x14ac:dyDescent="0.25">
      <c r="D79" s="7" t="s">
        <v>32</v>
      </c>
      <c r="E79" s="8">
        <f>E77</f>
        <v>0</v>
      </c>
      <c r="F79" s="7" t="s">
        <v>26</v>
      </c>
      <c r="G79" s="11"/>
      <c r="K79" s="7" t="s">
        <v>32</v>
      </c>
      <c r="L79" s="8">
        <f>L77</f>
        <v>0</v>
      </c>
      <c r="M79" s="7" t="s">
        <v>26</v>
      </c>
    </row>
    <row r="80" spans="1:13" ht="14.25" customHeight="1" x14ac:dyDescent="0.25">
      <c r="A80" s="106" t="s">
        <v>110</v>
      </c>
      <c r="B80" s="106"/>
      <c r="C80" s="106"/>
      <c r="D80" s="106"/>
      <c r="E80" s="106"/>
      <c r="F80" s="106"/>
      <c r="G80" s="11"/>
      <c r="H80" s="106" t="s">
        <v>110</v>
      </c>
      <c r="I80" s="106"/>
      <c r="J80" s="106"/>
      <c r="K80" s="106"/>
      <c r="L80" s="106"/>
      <c r="M80" s="106"/>
    </row>
    <row r="81" spans="1:13" ht="14.25" customHeight="1" x14ac:dyDescent="0.25">
      <c r="A81" s="1" t="s">
        <v>99</v>
      </c>
      <c r="B81" s="1">
        <f>0.25*B74*B75</f>
        <v>500</v>
      </c>
      <c r="C81" s="1" t="s">
        <v>26</v>
      </c>
      <c r="D81" s="1" t="s">
        <v>102</v>
      </c>
      <c r="E81" s="1">
        <f>'T. PRISMÁTICO'!M17</f>
        <v>0.125</v>
      </c>
      <c r="F81" s="1" t="s">
        <v>107</v>
      </c>
      <c r="G81" s="11"/>
      <c r="H81" s="1" t="s">
        <v>99</v>
      </c>
      <c r="I81" s="1">
        <f>0.25*I74*I75</f>
        <v>500</v>
      </c>
      <c r="J81" s="1" t="s">
        <v>26</v>
      </c>
      <c r="K81" s="1" t="s">
        <v>102</v>
      </c>
      <c r="L81" s="1">
        <f>'T. PRISMÁTICO'!M17</f>
        <v>0.125</v>
      </c>
      <c r="M81" s="1" t="s">
        <v>107</v>
      </c>
    </row>
    <row r="82" spans="1:13" ht="14.25" customHeight="1" x14ac:dyDescent="0.25">
      <c r="A82" s="1" t="s">
        <v>98</v>
      </c>
      <c r="B82" s="44">
        <f>E78/B81</f>
        <v>4.2086908081274662E-3</v>
      </c>
      <c r="C82" s="1"/>
      <c r="D82" s="1" t="s">
        <v>100</v>
      </c>
      <c r="E82" s="44">
        <f>E70*(B84/10)/20/B73/(B83-0.375)/B85/(E81/10)</f>
        <v>4.20651352328371E-3</v>
      </c>
      <c r="F82" s="1"/>
      <c r="G82" s="11"/>
      <c r="H82" s="1" t="s">
        <v>98</v>
      </c>
      <c r="I82" s="44">
        <f>L78/I81</f>
        <v>6.8297880598006018E-3</v>
      </c>
      <c r="J82" s="1"/>
      <c r="K82" s="1" t="s">
        <v>100</v>
      </c>
      <c r="L82" s="44">
        <f>L70*(I84/10)/20/I73/(I83-0.375)/I85/(L81/10)</f>
        <v>6.5726773801307965E-3</v>
      </c>
      <c r="M82" s="1"/>
    </row>
    <row r="83" spans="1:13" ht="14.25" customHeight="1" x14ac:dyDescent="0.25">
      <c r="A83" s="1" t="s">
        <v>109</v>
      </c>
      <c r="B83" s="45">
        <v>1.5</v>
      </c>
      <c r="C83" s="1"/>
      <c r="D83" s="1" t="s">
        <v>103</v>
      </c>
      <c r="E83" s="46">
        <f>IF(22.5*E82+SQRT((22.5*E82)^2+4*E82/B82)&lt;1,1,22.5*E82+SQRT((22.5*E82)^2+4*E82/B82))</f>
        <v>2.0963679753383033</v>
      </c>
      <c r="F83" s="1"/>
      <c r="G83" s="11"/>
      <c r="H83" s="1" t="s">
        <v>109</v>
      </c>
      <c r="I83" s="45">
        <v>1.5</v>
      </c>
      <c r="J83" s="1"/>
      <c r="K83" s="1" t="s">
        <v>103</v>
      </c>
      <c r="L83" s="46">
        <f>IF(22.5*L82+SQRT((22.5*L82)^2+4*L82/I82)&lt;1,1,22.5*L82+SQRT((22.5*L82)^2+4*L82/I82))</f>
        <v>2.115444161907154</v>
      </c>
      <c r="M83" s="1"/>
    </row>
    <row r="84" spans="1:13" ht="14.25" customHeight="1" x14ac:dyDescent="0.25">
      <c r="A84" s="1" t="s">
        <v>116</v>
      </c>
      <c r="B84" s="50">
        <f>'T. PRISMÁTICO'!M143</f>
        <v>8</v>
      </c>
      <c r="C84" s="1" t="s">
        <v>107</v>
      </c>
      <c r="D84" s="1" t="s">
        <v>104</v>
      </c>
      <c r="E84" s="46">
        <f>IF(SQRT(3*E82*E70/B73/(B69/100))&lt;1,1,SQRT(3*E82*E70/B73/(B69/100)))</f>
        <v>1</v>
      </c>
      <c r="F84" s="1"/>
      <c r="G84" s="11"/>
      <c r="H84" s="1" t="s">
        <v>116</v>
      </c>
      <c r="I84" s="50">
        <f>'T. PRISMÁTICO'!M145</f>
        <v>12.5</v>
      </c>
      <c r="J84" s="1" t="s">
        <v>107</v>
      </c>
      <c r="K84" s="1" t="s">
        <v>104</v>
      </c>
      <c r="L84" s="46">
        <f>IF(SQRT(3*L82*I70/I73/(I69/100))&lt;1,1,SQRT(3*L82*L70/I73/(I69/100)))</f>
        <v>1.2372966970335337</v>
      </c>
      <c r="M84" s="1"/>
    </row>
    <row r="85" spans="1:13" ht="14.25" customHeight="1" x14ac:dyDescent="0.25">
      <c r="A85" s="1" t="s">
        <v>101</v>
      </c>
      <c r="B85" s="1">
        <f>'T. PRISMÁTICO'!M12*100</f>
        <v>21000</v>
      </c>
      <c r="C85" s="1" t="s">
        <v>108</v>
      </c>
      <c r="D85" s="47" t="s">
        <v>97</v>
      </c>
      <c r="E85" s="48">
        <f>IF(E83&gt;E84,E84,E83)</f>
        <v>1</v>
      </c>
      <c r="F85" s="1"/>
      <c r="G85" s="11"/>
      <c r="H85" s="1" t="s">
        <v>101</v>
      </c>
      <c r="I85" s="1">
        <f>'T. PRISMÁTICO'!M12*100</f>
        <v>21000</v>
      </c>
      <c r="J85" s="1" t="s">
        <v>108</v>
      </c>
      <c r="K85" s="47" t="s">
        <v>97</v>
      </c>
      <c r="L85" s="48">
        <f>IF(L83&gt;L84,L84,L83)</f>
        <v>1.2372966970335337</v>
      </c>
      <c r="M85" s="1"/>
    </row>
    <row r="86" spans="1:13" ht="14.25" customHeight="1" x14ac:dyDescent="0.35">
      <c r="A86" s="1"/>
      <c r="B86" s="1"/>
      <c r="C86" s="1"/>
      <c r="D86" s="51" t="s">
        <v>115</v>
      </c>
      <c r="E86" s="52">
        <f>E85*E78</f>
        <v>2.104345404063733</v>
      </c>
      <c r="F86" s="1"/>
      <c r="G86" s="11"/>
      <c r="H86" s="1"/>
      <c r="I86" s="1"/>
      <c r="J86" s="1"/>
      <c r="K86" s="51" t="s">
        <v>115</v>
      </c>
      <c r="L86" s="52">
        <f>L85*L78</f>
        <v>4.2252371039151759</v>
      </c>
      <c r="M86" s="1"/>
    </row>
    <row r="87" spans="1:13" ht="14.25" customHeight="1" x14ac:dyDescent="0.25">
      <c r="A87" s="12"/>
      <c r="B87" s="12"/>
      <c r="C87" s="12"/>
      <c r="D87" s="67"/>
      <c r="E87" s="68"/>
      <c r="F87" s="67"/>
      <c r="G87" s="11"/>
      <c r="H87" s="12"/>
      <c r="I87" s="12"/>
      <c r="J87" s="12"/>
      <c r="K87" s="12"/>
      <c r="L87" s="12"/>
      <c r="M87" s="12"/>
    </row>
    <row r="88" spans="1:13" ht="14.25" customHeight="1" x14ac:dyDescent="0.25">
      <c r="A88" s="105" t="s">
        <v>157</v>
      </c>
      <c r="B88" s="105"/>
      <c r="C88" s="105"/>
      <c r="D88" s="105"/>
      <c r="E88" s="105"/>
      <c r="F88" s="105"/>
      <c r="G88" s="11"/>
      <c r="H88" s="105" t="s">
        <v>158</v>
      </c>
      <c r="I88" s="105"/>
      <c r="J88" s="105"/>
      <c r="K88" s="105"/>
      <c r="L88" s="105"/>
      <c r="M88" s="105"/>
    </row>
    <row r="89" spans="1:13" ht="14.25" customHeight="1" x14ac:dyDescent="0.25">
      <c r="A89" t="s">
        <v>7</v>
      </c>
      <c r="B89">
        <f>B7</f>
        <v>40</v>
      </c>
      <c r="C89" t="s">
        <v>3</v>
      </c>
      <c r="D89" t="s">
        <v>8</v>
      </c>
      <c r="E89" s="4">
        <f>0.85*B89/10/B91</f>
        <v>2.4285714285714288</v>
      </c>
      <c r="F89" t="s">
        <v>9</v>
      </c>
      <c r="G89" s="11"/>
      <c r="H89" t="s">
        <v>7</v>
      </c>
      <c r="I89">
        <f>B7</f>
        <v>40</v>
      </c>
      <c r="J89" t="s">
        <v>3</v>
      </c>
      <c r="K89" t="s">
        <v>8</v>
      </c>
      <c r="L89" s="4">
        <f>0.85*I89/10/I91</f>
        <v>2.4285714285714288</v>
      </c>
      <c r="M89" t="s">
        <v>9</v>
      </c>
    </row>
    <row r="90" spans="1:13" ht="14.25" customHeight="1" x14ac:dyDescent="0.25">
      <c r="A90" t="s">
        <v>10</v>
      </c>
      <c r="B90">
        <f>B8</f>
        <v>50</v>
      </c>
      <c r="C90" t="s">
        <v>9</v>
      </c>
      <c r="D90" t="s">
        <v>11</v>
      </c>
      <c r="E90" s="4">
        <f>B90/B92</f>
        <v>43.478260869565219</v>
      </c>
      <c r="F90" t="s">
        <v>9</v>
      </c>
      <c r="G90" s="11"/>
      <c r="H90" t="s">
        <v>10</v>
      </c>
      <c r="I90">
        <f>B8</f>
        <v>50</v>
      </c>
      <c r="J90" t="s">
        <v>9</v>
      </c>
      <c r="K90" t="s">
        <v>11</v>
      </c>
      <c r="L90" s="4">
        <f>I90/I92</f>
        <v>43.478260869565219</v>
      </c>
      <c r="M90" t="s">
        <v>9</v>
      </c>
    </row>
    <row r="91" spans="1:13" ht="14.25" customHeight="1" x14ac:dyDescent="0.25">
      <c r="A91" t="s">
        <v>12</v>
      </c>
      <c r="B91">
        <v>1.4</v>
      </c>
      <c r="D91" t="s">
        <v>13</v>
      </c>
      <c r="E91">
        <f>B93*B98*100</f>
        <v>3509.0613589655177</v>
      </c>
      <c r="F91" t="s">
        <v>14</v>
      </c>
      <c r="G91" s="11"/>
      <c r="H91" t="s">
        <v>12</v>
      </c>
      <c r="I91">
        <v>1.4</v>
      </c>
      <c r="K91" t="s">
        <v>13</v>
      </c>
      <c r="L91">
        <f>I93*I98*100</f>
        <v>2493.3951519605916</v>
      </c>
      <c r="M91" t="s">
        <v>14</v>
      </c>
    </row>
    <row r="92" spans="1:13" ht="14.25" customHeight="1" x14ac:dyDescent="0.25">
      <c r="A92" t="s">
        <v>15</v>
      </c>
      <c r="B92">
        <v>1.1499999999999999</v>
      </c>
      <c r="D92" t="s">
        <v>16</v>
      </c>
      <c r="E92" s="6">
        <f>SQRT(E91/E89/B94/B97)</f>
        <v>6.1990639701747101</v>
      </c>
      <c r="F92" t="s">
        <v>17</v>
      </c>
      <c r="G92" s="11"/>
      <c r="H92" t="s">
        <v>15</v>
      </c>
      <c r="I92">
        <v>1.1499999999999999</v>
      </c>
      <c r="K92" t="s">
        <v>16</v>
      </c>
      <c r="L92" s="6">
        <f>SQRT(L91/L89/I94/I97)</f>
        <v>5.2254800283301313</v>
      </c>
      <c r="M92" t="s">
        <v>17</v>
      </c>
    </row>
    <row r="93" spans="1:13" ht="14.25" customHeight="1" x14ac:dyDescent="0.25">
      <c r="A93" t="s">
        <v>18</v>
      </c>
      <c r="B93">
        <v>1.4</v>
      </c>
      <c r="D93" t="s">
        <v>19</v>
      </c>
      <c r="E93">
        <f>B95-B96</f>
        <v>16.5</v>
      </c>
      <c r="F93" t="s">
        <v>17</v>
      </c>
      <c r="G93" s="11"/>
      <c r="H93" t="s">
        <v>18</v>
      </c>
      <c r="I93">
        <v>1.4</v>
      </c>
      <c r="K93" t="s">
        <v>19</v>
      </c>
      <c r="L93">
        <f>I95-I96</f>
        <v>16.5</v>
      </c>
      <c r="M93" t="s">
        <v>17</v>
      </c>
    </row>
    <row r="94" spans="1:13" ht="14.25" customHeight="1" x14ac:dyDescent="0.25">
      <c r="A94" t="s">
        <v>20</v>
      </c>
      <c r="B94">
        <v>100</v>
      </c>
      <c r="C94" t="s">
        <v>17</v>
      </c>
      <c r="D94" t="s">
        <v>21</v>
      </c>
      <c r="E94" s="5">
        <f>E91/E89/B94/E93^2</f>
        <v>5.3072823448946406E-2</v>
      </c>
      <c r="G94" s="11"/>
      <c r="H94" t="s">
        <v>20</v>
      </c>
      <c r="I94">
        <v>100</v>
      </c>
      <c r="J94" t="s">
        <v>17</v>
      </c>
      <c r="K94" t="s">
        <v>21</v>
      </c>
      <c r="L94" s="5">
        <f>L91/L89/I94/L93^2</f>
        <v>3.7711372686704783E-2</v>
      </c>
    </row>
    <row r="95" spans="1:13" ht="14.25" customHeight="1" x14ac:dyDescent="0.25">
      <c r="A95" t="s">
        <v>22</v>
      </c>
      <c r="B95" s="4">
        <f>B75</f>
        <v>20</v>
      </c>
      <c r="C95" t="s">
        <v>17</v>
      </c>
      <c r="D95" t="s">
        <v>23</v>
      </c>
      <c r="E95" s="5">
        <f>IF(E94&gt;B97,B97,E94)</f>
        <v>5.3072823448946406E-2</v>
      </c>
      <c r="G95" s="11"/>
      <c r="H95" t="s">
        <v>22</v>
      </c>
      <c r="I95" s="4">
        <f>B75</f>
        <v>20</v>
      </c>
      <c r="J95" t="s">
        <v>17</v>
      </c>
      <c r="K95" t="s">
        <v>23</v>
      </c>
      <c r="L95" s="5">
        <f>IF(L94&gt;I97,I97,L94)</f>
        <v>3.7711372686704783E-2</v>
      </c>
    </row>
    <row r="96" spans="1:13" ht="14.25" customHeight="1" x14ac:dyDescent="0.3">
      <c r="A96" t="s">
        <v>24</v>
      </c>
      <c r="B96" s="4">
        <f>B54</f>
        <v>3.5</v>
      </c>
      <c r="D96" t="s">
        <v>25</v>
      </c>
      <c r="E96" s="4">
        <f>E89*B94*E93/E90*(1-SQRT(1-2*E95))</f>
        <v>5.0286023821267154</v>
      </c>
      <c r="F96" t="s">
        <v>26</v>
      </c>
      <c r="G96" s="11"/>
      <c r="H96" t="s">
        <v>24</v>
      </c>
      <c r="I96" s="4">
        <f>B54</f>
        <v>3.5</v>
      </c>
      <c r="J96" t="s">
        <v>17</v>
      </c>
      <c r="K96" t="s">
        <v>25</v>
      </c>
      <c r="L96" s="4">
        <f>L89*I94*L93/L90*(1-SQRT(1-2*L95))</f>
        <v>3.5437717973963152</v>
      </c>
      <c r="M96" t="s">
        <v>26</v>
      </c>
    </row>
    <row r="97" spans="1:13" ht="14.25" customHeight="1" x14ac:dyDescent="0.3">
      <c r="A97" t="s">
        <v>27</v>
      </c>
      <c r="B97">
        <v>0.376</v>
      </c>
      <c r="D97" t="s">
        <v>28</v>
      </c>
      <c r="E97" s="4">
        <f>E89*B94*E93/E90*(E94-E95)/(1-B96/E93)</f>
        <v>0</v>
      </c>
      <c r="F97" t="s">
        <v>26</v>
      </c>
      <c r="G97" s="11"/>
      <c r="H97" t="s">
        <v>27</v>
      </c>
      <c r="I97">
        <v>0.376</v>
      </c>
      <c r="K97" t="s">
        <v>28</v>
      </c>
      <c r="L97" s="4">
        <f>L89*I94*L93/L90*(L94-L95)/(1-I96/L93)</f>
        <v>0</v>
      </c>
      <c r="M97" t="s">
        <v>26</v>
      </c>
    </row>
    <row r="98" spans="1:13" ht="14.25" customHeight="1" x14ac:dyDescent="0.25">
      <c r="A98" t="s">
        <v>29</v>
      </c>
      <c r="B98" s="4">
        <f>'T. PRISMÁTICO'!C150</f>
        <v>25.064723992610844</v>
      </c>
      <c r="C98" t="s">
        <v>30</v>
      </c>
      <c r="D98" s="7" t="s">
        <v>31</v>
      </c>
      <c r="E98" s="8">
        <f>E96+E97</f>
        <v>5.0286023821267154</v>
      </c>
      <c r="F98" s="7" t="s">
        <v>26</v>
      </c>
      <c r="G98" s="11"/>
      <c r="H98" t="s">
        <v>29</v>
      </c>
      <c r="I98" s="4">
        <f>'T. PRISMÁTICO'!C154</f>
        <v>17.809965371147083</v>
      </c>
      <c r="J98" t="s">
        <v>30</v>
      </c>
      <c r="K98" s="7" t="s">
        <v>31</v>
      </c>
      <c r="L98" s="8">
        <f>L96+L97</f>
        <v>3.5437717973963152</v>
      </c>
      <c r="M98" s="7" t="s">
        <v>26</v>
      </c>
    </row>
    <row r="99" spans="1:13" ht="14.25" customHeight="1" x14ac:dyDescent="0.25">
      <c r="B99" s="4"/>
      <c r="D99" s="7" t="s">
        <v>32</v>
      </c>
      <c r="E99" s="8">
        <f>E97</f>
        <v>0</v>
      </c>
      <c r="F99" s="7" t="s">
        <v>26</v>
      </c>
      <c r="G99" s="11"/>
      <c r="K99" s="7" t="s">
        <v>32</v>
      </c>
      <c r="L99" s="8">
        <f>L97</f>
        <v>0</v>
      </c>
      <c r="M99" s="7" t="s">
        <v>26</v>
      </c>
    </row>
    <row r="100" spans="1:13" ht="14.25" customHeight="1" x14ac:dyDescent="0.25">
      <c r="A100" s="106" t="s">
        <v>110</v>
      </c>
      <c r="B100" s="106"/>
      <c r="C100" s="106"/>
      <c r="D100" s="106"/>
      <c r="E100" s="106"/>
      <c r="F100" s="106"/>
      <c r="G100" s="11"/>
      <c r="H100" s="106" t="s">
        <v>110</v>
      </c>
      <c r="I100" s="106"/>
      <c r="J100" s="106"/>
      <c r="K100" s="106"/>
      <c r="L100" s="106"/>
      <c r="M100" s="106"/>
    </row>
    <row r="101" spans="1:13" ht="14.25" customHeight="1" x14ac:dyDescent="0.25">
      <c r="A101" s="1" t="s">
        <v>99</v>
      </c>
      <c r="B101" s="1">
        <f>0.25*B94*B95</f>
        <v>500</v>
      </c>
      <c r="C101" s="1" t="s">
        <v>26</v>
      </c>
      <c r="D101" s="1" t="s">
        <v>102</v>
      </c>
      <c r="E101" s="1">
        <f>'T. PRISMÁTICO'!M17</f>
        <v>0.125</v>
      </c>
      <c r="F101" s="1" t="s">
        <v>107</v>
      </c>
      <c r="G101" s="11"/>
      <c r="H101" s="1" t="s">
        <v>99</v>
      </c>
      <c r="I101" s="1">
        <f>0.25*I94*I95</f>
        <v>500</v>
      </c>
      <c r="J101" s="1" t="s">
        <v>26</v>
      </c>
      <c r="K101" s="1" t="s">
        <v>102</v>
      </c>
      <c r="L101" s="1">
        <f>'T. PRISMÁTICO'!M17</f>
        <v>0.125</v>
      </c>
      <c r="M101" s="1" t="s">
        <v>107</v>
      </c>
    </row>
    <row r="102" spans="1:13" ht="14.25" customHeight="1" x14ac:dyDescent="0.25">
      <c r="A102" s="1" t="s">
        <v>98</v>
      </c>
      <c r="B102" s="44">
        <f>E98/B101</f>
        <v>1.0057204764253432E-2</v>
      </c>
      <c r="C102" s="1"/>
      <c r="D102" s="1" t="s">
        <v>100</v>
      </c>
      <c r="E102" s="44">
        <f>E90*(B104/10)/20/B93/(B103-0.375)/B105/(E101/10)</f>
        <v>6.5726773801307965E-3</v>
      </c>
      <c r="F102" s="1"/>
      <c r="G102" s="11"/>
      <c r="H102" s="1" t="s">
        <v>98</v>
      </c>
      <c r="I102" s="44">
        <f>L98/I101</f>
        <v>7.08754359479263E-3</v>
      </c>
      <c r="J102" s="1"/>
      <c r="K102" s="1" t="s">
        <v>100</v>
      </c>
      <c r="L102" s="44">
        <f>L90*(I104/10)/20/I93/(I103-0.375)/I105/(L101/10)</f>
        <v>5.2581419041046375E-3</v>
      </c>
      <c r="M102" s="1"/>
    </row>
    <row r="103" spans="1:13" ht="14.25" customHeight="1" x14ac:dyDescent="0.25">
      <c r="A103" s="1" t="s">
        <v>109</v>
      </c>
      <c r="B103" s="45">
        <v>1.5</v>
      </c>
      <c r="C103" s="1"/>
      <c r="D103" s="1" t="s">
        <v>103</v>
      </c>
      <c r="E103" s="46">
        <f>IF(22.5*E102+SQRT((22.5*E102)^2+4*E102/B102)&lt;1,1,22.5*E102+SQRT((22.5*E102)^2+4*E102/B102))</f>
        <v>1.771457537609038</v>
      </c>
      <c r="F103" s="1"/>
      <c r="G103" s="11"/>
      <c r="H103" s="1" t="s">
        <v>109</v>
      </c>
      <c r="I103" s="45">
        <v>1.5</v>
      </c>
      <c r="J103" s="1"/>
      <c r="K103" s="1" t="s">
        <v>103</v>
      </c>
      <c r="L103" s="46">
        <f>IF(22.5*L102+SQRT((22.5*L102)^2+4*L102/I102)&lt;1,1,22.5*L102+SQRT((22.5*L102)^2+4*L102/I102))</f>
        <v>1.8450208546507525</v>
      </c>
      <c r="M103" s="1"/>
    </row>
    <row r="104" spans="1:13" ht="14.25" customHeight="1" x14ac:dyDescent="0.25">
      <c r="A104" s="1" t="s">
        <v>116</v>
      </c>
      <c r="B104" s="50">
        <f>'T. PRISMÁTICO'!M150</f>
        <v>12.5</v>
      </c>
      <c r="C104" s="1" t="s">
        <v>107</v>
      </c>
      <c r="D104" s="1" t="s">
        <v>104</v>
      </c>
      <c r="E104" s="46">
        <f>IF(SQRT(3*E102*E90/B93/(B89/100))&lt;1,1,SQRT(3*E102*E90/B93/(B89/100)))</f>
        <v>1.2372966970335337</v>
      </c>
      <c r="F104" s="1"/>
      <c r="G104" s="11"/>
      <c r="H104" s="1" t="s">
        <v>116</v>
      </c>
      <c r="I104" s="50">
        <f>'T. PRISMÁTICO'!M154</f>
        <v>10</v>
      </c>
      <c r="J104" s="1" t="s">
        <v>107</v>
      </c>
      <c r="K104" s="1" t="s">
        <v>104</v>
      </c>
      <c r="L104" s="46">
        <f>IF(SQRT(3*L102*I90/I93/(I89/100))&lt;1,1,SQRT(3*L102*L90/I93/(I89/100)))</f>
        <v>1.1066718091611776</v>
      </c>
      <c r="M104" s="1"/>
    </row>
    <row r="105" spans="1:13" ht="14.25" customHeight="1" x14ac:dyDescent="0.25">
      <c r="A105" s="1" t="s">
        <v>101</v>
      </c>
      <c r="B105" s="1">
        <f>'T. PRISMÁTICO'!M12*100</f>
        <v>21000</v>
      </c>
      <c r="C105" s="1" t="s">
        <v>108</v>
      </c>
      <c r="D105" s="47" t="s">
        <v>97</v>
      </c>
      <c r="E105" s="48">
        <f>IF(E103&gt;E104,E104,E103)</f>
        <v>1.2372966970335337</v>
      </c>
      <c r="F105" s="1"/>
      <c r="G105" s="11"/>
      <c r="H105" s="1" t="s">
        <v>101</v>
      </c>
      <c r="I105" s="45">
        <f>'T. PRISMÁTICO'!M12*100</f>
        <v>21000</v>
      </c>
      <c r="J105" s="1" t="s">
        <v>108</v>
      </c>
      <c r="K105" s="47" t="s">
        <v>97</v>
      </c>
      <c r="L105" s="48">
        <f>IF(L103&gt;L104,L104,L103)</f>
        <v>1.1066718091611776</v>
      </c>
      <c r="M105" s="1"/>
    </row>
    <row r="106" spans="1:13" ht="14.25" customHeight="1" x14ac:dyDescent="0.35">
      <c r="A106" s="1"/>
      <c r="B106" s="1"/>
      <c r="C106" s="1"/>
      <c r="D106" s="51" t="s">
        <v>115</v>
      </c>
      <c r="E106" s="52">
        <f>E105*E98</f>
        <v>6.221873118100345</v>
      </c>
      <c r="F106" s="1"/>
      <c r="G106" s="11"/>
      <c r="H106" s="1"/>
      <c r="I106" s="1"/>
      <c r="J106" s="1"/>
      <c r="K106" s="51" t="s">
        <v>115</v>
      </c>
      <c r="L106" s="52">
        <f>L105*L98</f>
        <v>3.9217923462789384</v>
      </c>
      <c r="M106" s="1"/>
    </row>
    <row r="107" spans="1:13" ht="14.25" customHeight="1" x14ac:dyDescent="0.25">
      <c r="A107" s="45"/>
      <c r="B107" s="45"/>
      <c r="C107" s="45"/>
      <c r="D107" s="21"/>
      <c r="E107" s="107"/>
      <c r="F107" s="45"/>
      <c r="G107" s="11"/>
      <c r="H107" s="45"/>
      <c r="I107" s="45"/>
      <c r="J107" s="45"/>
      <c r="K107" s="21"/>
      <c r="L107" s="107"/>
      <c r="M107" s="45"/>
    </row>
    <row r="108" spans="1:13" ht="14.25" customHeight="1" x14ac:dyDescent="0.25">
      <c r="A108" s="105" t="s">
        <v>141</v>
      </c>
      <c r="B108" s="105"/>
      <c r="C108" s="105"/>
      <c r="D108" s="105"/>
      <c r="E108" s="105"/>
      <c r="F108" s="105"/>
      <c r="G108" s="11"/>
      <c r="H108" s="105"/>
      <c r="I108" s="105"/>
      <c r="J108" s="105"/>
      <c r="K108" s="105"/>
      <c r="L108" s="105"/>
      <c r="M108" s="105"/>
    </row>
    <row r="109" spans="1:13" ht="14.25" customHeight="1" x14ac:dyDescent="0.25">
      <c r="A109" t="s">
        <v>7</v>
      </c>
      <c r="B109">
        <f>B7</f>
        <v>40</v>
      </c>
      <c r="C109" t="s">
        <v>3</v>
      </c>
      <c r="D109" t="s">
        <v>8</v>
      </c>
      <c r="E109" s="4">
        <f>0.85*B109/10/B111</f>
        <v>2.4285714285714288</v>
      </c>
      <c r="F109" t="s">
        <v>9</v>
      </c>
      <c r="G109" s="11"/>
      <c r="L109" s="4"/>
    </row>
    <row r="110" spans="1:13" ht="14.25" customHeight="1" x14ac:dyDescent="0.25">
      <c r="A110" t="s">
        <v>10</v>
      </c>
      <c r="B110">
        <f>B8</f>
        <v>50</v>
      </c>
      <c r="C110" t="s">
        <v>9</v>
      </c>
      <c r="D110" t="s">
        <v>11</v>
      </c>
      <c r="E110" s="4">
        <f>B110/B112</f>
        <v>43.478260869565219</v>
      </c>
      <c r="F110" t="s">
        <v>9</v>
      </c>
      <c r="G110" s="11"/>
      <c r="L110" s="4"/>
    </row>
    <row r="111" spans="1:13" ht="14.25" customHeight="1" x14ac:dyDescent="0.25">
      <c r="A111" t="s">
        <v>12</v>
      </c>
      <c r="B111">
        <v>1.4</v>
      </c>
      <c r="D111" t="s">
        <v>13</v>
      </c>
      <c r="E111">
        <f>B113*B118*100</f>
        <v>3996.327983872</v>
      </c>
      <c r="F111" t="s">
        <v>14</v>
      </c>
      <c r="G111" s="11"/>
    </row>
    <row r="112" spans="1:13" ht="14.25" customHeight="1" x14ac:dyDescent="0.25">
      <c r="A112" t="s">
        <v>15</v>
      </c>
      <c r="B112">
        <v>1.1499999999999999</v>
      </c>
      <c r="D112" t="s">
        <v>16</v>
      </c>
      <c r="E112" s="6">
        <f>SQRT(E111/E109/B114/B117)</f>
        <v>6.6154775339617728</v>
      </c>
      <c r="F112" t="s">
        <v>17</v>
      </c>
      <c r="G112" s="11"/>
      <c r="L112" s="6"/>
    </row>
    <row r="113" spans="1:13" ht="14.25" customHeight="1" x14ac:dyDescent="0.25">
      <c r="A113" t="s">
        <v>18</v>
      </c>
      <c r="B113">
        <v>1.4</v>
      </c>
      <c r="D113" t="s">
        <v>19</v>
      </c>
      <c r="E113">
        <f>B115-B116</f>
        <v>16.5</v>
      </c>
      <c r="F113" t="s">
        <v>17</v>
      </c>
      <c r="G113" s="11"/>
    </row>
    <row r="114" spans="1:13" ht="14.25" customHeight="1" x14ac:dyDescent="0.25">
      <c r="A114" t="s">
        <v>20</v>
      </c>
      <c r="B114">
        <v>100</v>
      </c>
      <c r="C114" t="s">
        <v>17</v>
      </c>
      <c r="D114" t="s">
        <v>21</v>
      </c>
      <c r="E114" s="5">
        <f>E111/E109/B114/E113^2</f>
        <v>6.0442490978456213E-2</v>
      </c>
      <c r="G114" s="11"/>
      <c r="L114" s="5"/>
    </row>
    <row r="115" spans="1:13" ht="14.25" customHeight="1" x14ac:dyDescent="0.25">
      <c r="A115" t="s">
        <v>22</v>
      </c>
      <c r="B115" s="4">
        <f>'T. PRISMÁTICO'!K25*100</f>
        <v>20</v>
      </c>
      <c r="C115" t="s">
        <v>17</v>
      </c>
      <c r="D115" t="s">
        <v>23</v>
      </c>
      <c r="E115" s="5">
        <f>IF(E114&gt;B117,B117,E114)</f>
        <v>6.0442490978456213E-2</v>
      </c>
      <c r="G115" s="11"/>
      <c r="I115" s="4"/>
      <c r="L115" s="5"/>
    </row>
    <row r="116" spans="1:13" ht="14.25" customHeight="1" x14ac:dyDescent="0.3">
      <c r="A116" t="s">
        <v>24</v>
      </c>
      <c r="B116" s="4">
        <f>B96</f>
        <v>3.5</v>
      </c>
      <c r="D116" t="s">
        <v>25</v>
      </c>
      <c r="E116" s="4">
        <f>E109*B114*E113/E110*(1-SQRT(1-2*E115))</f>
        <v>5.7500066224107185</v>
      </c>
      <c r="F116" t="s">
        <v>26</v>
      </c>
      <c r="G116" s="11"/>
      <c r="I116" s="4"/>
      <c r="L116" s="4"/>
    </row>
    <row r="117" spans="1:13" ht="14.25" customHeight="1" x14ac:dyDescent="0.3">
      <c r="A117" t="s">
        <v>27</v>
      </c>
      <c r="B117">
        <v>0.376</v>
      </c>
      <c r="D117" t="s">
        <v>28</v>
      </c>
      <c r="E117" s="4">
        <f>E109*B114*E113/E110*(E114-E115)/(1-B116/E113)</f>
        <v>0</v>
      </c>
      <c r="F117" t="s">
        <v>26</v>
      </c>
      <c r="G117" s="11"/>
      <c r="L117" s="4"/>
    </row>
    <row r="118" spans="1:13" ht="14.25" customHeight="1" x14ac:dyDescent="0.25">
      <c r="A118" t="s">
        <v>29</v>
      </c>
      <c r="B118" s="4">
        <f>'T. PRISMÁTICO'!C160</f>
        <v>28.545199884800002</v>
      </c>
      <c r="C118" t="s">
        <v>30</v>
      </c>
      <c r="D118" s="7" t="s">
        <v>31</v>
      </c>
      <c r="E118" s="8">
        <f>E116+E117</f>
        <v>5.7500066224107185</v>
      </c>
      <c r="F118" s="7" t="s">
        <v>26</v>
      </c>
      <c r="G118" s="11"/>
      <c r="I118" s="4"/>
      <c r="K118" s="7"/>
      <c r="L118" s="8"/>
      <c r="M118" s="7"/>
    </row>
    <row r="119" spans="1:13" ht="14.25" customHeight="1" x14ac:dyDescent="0.25">
      <c r="D119" s="7" t="s">
        <v>32</v>
      </c>
      <c r="E119" s="8">
        <f>E117</f>
        <v>0</v>
      </c>
      <c r="F119" s="7" t="s">
        <v>26</v>
      </c>
      <c r="G119" s="11"/>
      <c r="K119" s="7"/>
      <c r="L119" s="8"/>
      <c r="M119" s="7"/>
    </row>
    <row r="120" spans="1:13" ht="14.25" customHeight="1" x14ac:dyDescent="0.25">
      <c r="A120" s="106" t="s">
        <v>110</v>
      </c>
      <c r="B120" s="106"/>
      <c r="C120" s="106"/>
      <c r="D120" s="106"/>
      <c r="E120" s="106"/>
      <c r="F120" s="106"/>
      <c r="G120" s="11"/>
      <c r="H120" s="106"/>
      <c r="I120" s="106"/>
      <c r="J120" s="106"/>
      <c r="K120" s="106"/>
      <c r="L120" s="106"/>
      <c r="M120" s="106"/>
    </row>
    <row r="121" spans="1:13" ht="14.25" customHeight="1" x14ac:dyDescent="0.25">
      <c r="A121" s="1" t="s">
        <v>99</v>
      </c>
      <c r="B121" s="1">
        <f>0.25*B114*B115</f>
        <v>500</v>
      </c>
      <c r="C121" s="1" t="s">
        <v>26</v>
      </c>
      <c r="D121" s="1" t="s">
        <v>102</v>
      </c>
      <c r="E121" s="1">
        <f>'T. PRISMÁTICO'!M17</f>
        <v>0.125</v>
      </c>
      <c r="F121" s="1" t="s">
        <v>107</v>
      </c>
      <c r="G121" s="11"/>
      <c r="H121" s="1"/>
      <c r="I121" s="1"/>
      <c r="J121" s="1"/>
      <c r="K121" s="1"/>
      <c r="L121" s="1"/>
      <c r="M121" s="1"/>
    </row>
    <row r="122" spans="1:13" ht="14.25" customHeight="1" x14ac:dyDescent="0.25">
      <c r="A122" s="1" t="s">
        <v>98</v>
      </c>
      <c r="B122" s="44">
        <f>E118/B121</f>
        <v>1.1500013244821437E-2</v>
      </c>
      <c r="C122" s="1"/>
      <c r="D122" s="1" t="s">
        <v>100</v>
      </c>
      <c r="E122" s="44">
        <f>E110*(B124/10)/20/B113/(B123-0.375)/B125/(E121/10)</f>
        <v>6.5726773801307965E-3</v>
      </c>
      <c r="F122" s="1"/>
      <c r="G122" s="11"/>
      <c r="H122" s="1"/>
      <c r="I122" s="44"/>
      <c r="J122" s="1"/>
      <c r="K122" s="1"/>
      <c r="L122" s="44"/>
      <c r="M122" s="1"/>
    </row>
    <row r="123" spans="1:13" ht="14.25" customHeight="1" x14ac:dyDescent="0.25">
      <c r="A123" s="1" t="s">
        <v>109</v>
      </c>
      <c r="B123" s="45">
        <v>1.5</v>
      </c>
      <c r="C123" s="1"/>
      <c r="D123" s="1" t="s">
        <v>103</v>
      </c>
      <c r="E123" s="46">
        <f>IF(22.5*E122+SQRT((22.5*E122)^2+4*E122/B122)&lt;1,1,22.5*E122+SQRT((22.5*E122)^2+4*E122/B122))</f>
        <v>1.667100849671908</v>
      </c>
      <c r="F123" s="1"/>
      <c r="G123" s="11"/>
      <c r="H123" s="1"/>
      <c r="I123" s="45"/>
      <c r="J123" s="1"/>
      <c r="K123" s="1"/>
      <c r="L123" s="46"/>
      <c r="M123" s="1"/>
    </row>
    <row r="124" spans="1:13" ht="14.25" customHeight="1" x14ac:dyDescent="0.25">
      <c r="A124" s="1" t="s">
        <v>116</v>
      </c>
      <c r="B124" s="50">
        <f>'T. PRISMÁTICO'!M160</f>
        <v>12.5</v>
      </c>
      <c r="C124" s="1" t="s">
        <v>107</v>
      </c>
      <c r="D124" s="1" t="s">
        <v>104</v>
      </c>
      <c r="E124" s="46">
        <f>IF(SQRT(3*E122*E110/B113/(B109/100))&lt;1,1,SQRT(3*E122*E110/B113/(B109/100)))</f>
        <v>1.2372966970335337</v>
      </c>
      <c r="F124" s="1"/>
      <c r="G124" s="11"/>
      <c r="H124" s="1"/>
      <c r="I124" s="50"/>
      <c r="J124" s="1"/>
      <c r="K124" s="1"/>
      <c r="L124" s="46"/>
      <c r="M124" s="1"/>
    </row>
    <row r="125" spans="1:13" ht="14.25" customHeight="1" x14ac:dyDescent="0.25">
      <c r="A125" s="1" t="s">
        <v>101</v>
      </c>
      <c r="B125" s="1">
        <f>'T. PRISMÁTICO'!M12*100</f>
        <v>21000</v>
      </c>
      <c r="C125" s="1" t="s">
        <v>108</v>
      </c>
      <c r="D125" s="47" t="s">
        <v>97</v>
      </c>
      <c r="E125" s="48">
        <f>IF(E123&gt;E124,E124,E123)</f>
        <v>1.2372966970335337</v>
      </c>
      <c r="F125" s="1"/>
      <c r="G125" s="11"/>
      <c r="H125" s="1"/>
      <c r="I125" s="1"/>
      <c r="J125" s="1"/>
      <c r="K125" s="47"/>
      <c r="L125" s="48"/>
      <c r="M125" s="1"/>
    </row>
    <row r="126" spans="1:13" ht="14.25" customHeight="1" x14ac:dyDescent="0.35">
      <c r="A126" s="1"/>
      <c r="B126" s="1"/>
      <c r="C126" s="1"/>
      <c r="D126" s="51" t="s">
        <v>115</v>
      </c>
      <c r="E126" s="52">
        <f>E125*E118</f>
        <v>7.1144642018297271</v>
      </c>
      <c r="F126" s="1"/>
      <c r="G126" s="11"/>
      <c r="H126" s="1"/>
      <c r="I126" s="1"/>
      <c r="J126" s="1"/>
      <c r="K126" s="1"/>
      <c r="L126" s="46"/>
      <c r="M126" s="1"/>
    </row>
    <row r="127" spans="1:13" ht="14.25" customHeight="1" x14ac:dyDescent="0.35">
      <c r="A127" s="1"/>
      <c r="B127" s="1"/>
      <c r="C127" s="1"/>
      <c r="D127" s="21"/>
      <c r="E127" s="107"/>
      <c r="F127" s="1"/>
      <c r="G127" s="11"/>
      <c r="H127" s="1"/>
      <c r="I127" s="1"/>
      <c r="J127" s="1"/>
      <c r="K127" s="1"/>
      <c r="L127" s="46"/>
      <c r="M127" s="1"/>
    </row>
    <row r="128" spans="1:13" ht="14.25" customHeight="1" x14ac:dyDescent="0.35">
      <c r="A128" s="1"/>
      <c r="B128" s="1"/>
      <c r="C128" s="1"/>
      <c r="D128" s="21"/>
      <c r="E128" s="107"/>
      <c r="F128" s="1"/>
      <c r="G128" s="11"/>
      <c r="H128" s="1"/>
      <c r="I128" s="1"/>
      <c r="J128" s="1"/>
      <c r="K128" s="1"/>
      <c r="L128" s="46"/>
      <c r="M128" s="1"/>
    </row>
    <row r="129" spans="1:13" ht="14.25" customHeight="1" x14ac:dyDescent="0.25">
      <c r="A129" s="110"/>
      <c r="B129" s="110"/>
      <c r="C129" s="110"/>
      <c r="D129" s="111"/>
      <c r="E129" s="112"/>
      <c r="F129" s="110"/>
      <c r="G129" s="100"/>
      <c r="H129" s="110"/>
      <c r="I129" s="110"/>
      <c r="J129" s="110"/>
      <c r="K129" s="110"/>
      <c r="L129" s="113"/>
      <c r="M129" s="110"/>
    </row>
  </sheetData>
  <mergeCells count="24">
    <mergeCell ref="A120:F120"/>
    <mergeCell ref="H120:M120"/>
    <mergeCell ref="A26:F26"/>
    <mergeCell ref="H26:M26"/>
    <mergeCell ref="A46:F46"/>
    <mergeCell ref="H46:M46"/>
    <mergeCell ref="H108:M108"/>
    <mergeCell ref="A38:F38"/>
    <mergeCell ref="H38:M38"/>
    <mergeCell ref="A58:F58"/>
    <mergeCell ref="H58:M58"/>
    <mergeCell ref="A80:F80"/>
    <mergeCell ref="H80:M80"/>
    <mergeCell ref="A100:F100"/>
    <mergeCell ref="H100:M100"/>
    <mergeCell ref="A68:F68"/>
    <mergeCell ref="A6:F6"/>
    <mergeCell ref="H6:M6"/>
    <mergeCell ref="A18:F18"/>
    <mergeCell ref="H18:M18"/>
    <mergeCell ref="A108:F108"/>
    <mergeCell ref="H68:M68"/>
    <mergeCell ref="A88:F88"/>
    <mergeCell ref="H88:M8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0" orientation="portrait" r:id="rId1"/>
  <headerFooter>
    <oddFooter>&amp;R
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T. PRISMÁTICO</vt:lpstr>
      <vt:lpstr>ARMAÇÃO</vt:lpstr>
      <vt:lpstr>ARMAÇÃO!Area_de_impressao</vt:lpstr>
      <vt:lpstr>'T. PRISMÁTICO'!Area_de_impressao</vt:lpstr>
      <vt:lpstr>ARMAÇÃO!Titulos_de_impressao</vt:lpstr>
      <vt:lpstr>'T. PRISMÁTICO'!Titulos_de_impressao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Rômulo II</dc:creator>
  <cp:lastModifiedBy>Usuário do Windows</cp:lastModifiedBy>
  <cp:lastPrinted>2017-09-20T16:01:01Z</cp:lastPrinted>
  <dcterms:created xsi:type="dcterms:W3CDTF">2012-01-10T23:59:19Z</dcterms:created>
  <dcterms:modified xsi:type="dcterms:W3CDTF">2017-09-20T16:01:35Z</dcterms:modified>
</cp:coreProperties>
</file>