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1840" windowHeight="12525" activeTab="1"/>
  </bookViews>
  <sheets>
    <sheet name="EQ 3 GRAU" sheetId="1" r:id="rId1"/>
    <sheet name="TQ CILIND." sheetId="2" r:id="rId2"/>
    <sheet name="ARMAÇÃO" sheetId="3" r:id="rId3"/>
  </sheets>
  <definedNames>
    <definedName name="_xlnm.Print_Area" localSheetId="2">ARMAÇÃO!$A$1:$M$48</definedName>
    <definedName name="_xlnm.Print_Area" localSheetId="0">'EQ 3 GRAU'!$B$1:$I$30</definedName>
    <definedName name="_xlnm.Print_Area" localSheetId="1">'TQ CILIND.'!$B$1:$K$156</definedName>
  </definedNames>
  <calcPr calcId="144525"/>
</workbook>
</file>

<file path=xl/calcChain.xml><?xml version="1.0" encoding="utf-8"?>
<calcChain xmlns="http://schemas.openxmlformats.org/spreadsheetml/2006/main">
  <c r="F150" i="2" l="1"/>
  <c r="F149" i="2"/>
  <c r="F156" i="2"/>
  <c r="F152" i="2"/>
  <c r="F151" i="2" l="1"/>
  <c r="F154" i="2"/>
  <c r="F155" i="2" s="1"/>
  <c r="F153" i="2"/>
  <c r="B88" i="2" l="1"/>
  <c r="G8" i="2" l="1"/>
  <c r="Q12" i="2" l="1"/>
  <c r="Q9" i="2"/>
  <c r="Q8" i="2"/>
  <c r="O8" i="2"/>
  <c r="O7" i="2"/>
  <c r="O9" i="2" l="1"/>
  <c r="Q10" i="2"/>
  <c r="G16" i="2"/>
  <c r="C34" i="2" s="1"/>
  <c r="B42" i="3" l="1"/>
  <c r="I28" i="3"/>
  <c r="B15" i="3" l="1"/>
  <c r="B14" i="3"/>
  <c r="C143" i="2"/>
  <c r="C115" i="2" l="1"/>
  <c r="C117" i="2" l="1"/>
  <c r="E30" i="2" l="1"/>
  <c r="F30" i="2"/>
  <c r="G23" i="2"/>
  <c r="G20" i="2"/>
  <c r="G93" i="2" l="1"/>
  <c r="I42" i="3"/>
  <c r="C139" i="2"/>
  <c r="B89" i="2"/>
  <c r="B90" i="2"/>
  <c r="D73" i="2"/>
  <c r="C114" i="2" l="1"/>
  <c r="C113" i="2"/>
  <c r="G146" i="2"/>
  <c r="G120" i="2" l="1"/>
  <c r="F113" i="2"/>
  <c r="F139" i="2"/>
  <c r="F138" i="2" s="1"/>
  <c r="I15" i="3"/>
  <c r="I14" i="3"/>
  <c r="F112" i="2" l="1"/>
  <c r="F111" i="2" s="1"/>
  <c r="F110" i="2"/>
  <c r="C118" i="2"/>
  <c r="C119" i="2" s="1"/>
  <c r="C144" i="2"/>
  <c r="I29" i="3"/>
  <c r="B28" i="3"/>
  <c r="B29" i="3"/>
  <c r="B43" i="3" l="1"/>
  <c r="E40" i="3" s="1"/>
  <c r="I43" i="3"/>
  <c r="L40" i="3" s="1"/>
  <c r="L26" i="3"/>
  <c r="E26" i="3"/>
  <c r="G27" i="2" l="1"/>
  <c r="C141" i="2" l="1"/>
  <c r="C145" i="2" s="1"/>
  <c r="L12" i="3"/>
  <c r="B8" i="3"/>
  <c r="I36" i="3" s="1"/>
  <c r="L36" i="3" s="1"/>
  <c r="E12" i="3"/>
  <c r="B9" i="3"/>
  <c r="I37" i="3" s="1"/>
  <c r="B82" i="2"/>
  <c r="B83" i="2"/>
  <c r="B84" i="2"/>
  <c r="B85" i="2"/>
  <c r="B86" i="2"/>
  <c r="B87" i="2"/>
  <c r="B81" i="2"/>
  <c r="E76" i="2"/>
  <c r="G76" i="2" s="1"/>
  <c r="G77" i="2" s="1"/>
  <c r="G123" i="2" l="1"/>
  <c r="C140" i="2" s="1"/>
  <c r="B22" i="3"/>
  <c r="E22" i="3" s="1"/>
  <c r="B36" i="3"/>
  <c r="E9" i="3"/>
  <c r="B23" i="3"/>
  <c r="I8" i="3"/>
  <c r="L8" i="3" s="1"/>
  <c r="I9" i="3"/>
  <c r="L9" i="3" s="1"/>
  <c r="E8" i="3"/>
  <c r="C136" i="2" l="1"/>
  <c r="C146" i="2"/>
  <c r="E146" i="2" s="1"/>
  <c r="F137" i="2"/>
  <c r="F136" i="2"/>
  <c r="C137" i="2"/>
  <c r="C110" i="2"/>
  <c r="C111" i="2"/>
  <c r="I22" i="3"/>
  <c r="L22" i="3" s="1"/>
  <c r="E36" i="3"/>
  <c r="L37" i="3"/>
  <c r="I23" i="3"/>
  <c r="E23" i="3"/>
  <c r="D66" i="2"/>
  <c r="D67" i="2"/>
  <c r="D68" i="2"/>
  <c r="D69" i="2"/>
  <c r="D70" i="2"/>
  <c r="D71" i="2"/>
  <c r="D72" i="2"/>
  <c r="D65" i="2"/>
  <c r="C120" i="2" l="1"/>
  <c r="E120" i="2" s="1"/>
  <c r="G101" i="2"/>
  <c r="B31" i="3" s="1"/>
  <c r="E24" i="3" s="1"/>
  <c r="G98" i="2"/>
  <c r="I17" i="3" s="1"/>
  <c r="G94" i="2"/>
  <c r="L23" i="3"/>
  <c r="B37" i="3"/>
  <c r="E37" i="3" s="1"/>
  <c r="G26" i="2"/>
  <c r="G95" i="2" l="1"/>
  <c r="B17" i="3" s="1"/>
  <c r="E10" i="3" s="1"/>
  <c r="E27" i="3"/>
  <c r="E25" i="3"/>
  <c r="C40" i="2"/>
  <c r="B47" i="2" s="1"/>
  <c r="C41" i="2"/>
  <c r="B48" i="2" s="1"/>
  <c r="C33" i="2"/>
  <c r="C36" i="2"/>
  <c r="J48" i="2" s="1"/>
  <c r="F50" i="2" s="1"/>
  <c r="B58" i="2" s="1"/>
  <c r="C35" i="2"/>
  <c r="E28" i="3" l="1"/>
  <c r="E29" i="3" s="1"/>
  <c r="E13" i="3"/>
  <c r="E14" i="3" s="1"/>
  <c r="E15" i="3" s="1"/>
  <c r="E11" i="3"/>
  <c r="C38" i="2"/>
  <c r="G48" i="2" s="1"/>
  <c r="C37" i="2"/>
  <c r="C39" i="2"/>
  <c r="D47" i="2" s="1"/>
  <c r="C49" i="2" s="1"/>
  <c r="E30" i="3" l="1"/>
  <c r="E32" i="3" s="1"/>
  <c r="E16" i="3"/>
  <c r="E18" i="3" s="1"/>
  <c r="G47" i="2"/>
  <c r="E49" i="2" s="1"/>
  <c r="D48" i="2"/>
  <c r="E31" i="3" l="1"/>
  <c r="G102" i="2" s="1"/>
  <c r="G103" i="2" s="1"/>
  <c r="D50" i="2"/>
  <c r="E58" i="2" s="1"/>
  <c r="D4" i="1" s="1"/>
  <c r="D8" i="1" s="1"/>
  <c r="B50" i="2"/>
  <c r="H58" i="2" s="1"/>
  <c r="D6" i="1" s="1"/>
  <c r="E17" i="3"/>
  <c r="G96" i="2" l="1"/>
  <c r="G97" i="2" s="1"/>
  <c r="D9" i="1"/>
  <c r="D10" i="1" s="1"/>
  <c r="F20" i="1" s="1"/>
  <c r="D12" i="1" l="1"/>
  <c r="F24" i="1"/>
  <c r="D21" i="1"/>
  <c r="F29" i="1" s="1"/>
  <c r="F25" i="1"/>
  <c r="D13" i="1" l="1"/>
  <c r="F16" i="1" s="1"/>
  <c r="F28" i="1"/>
  <c r="G24" i="1"/>
  <c r="G25" i="1"/>
  <c r="F17" i="1" l="1"/>
  <c r="F15" i="1"/>
  <c r="C60" i="2" l="1"/>
  <c r="C42" i="2" s="1"/>
  <c r="G124" i="2" l="1"/>
  <c r="G125" i="2" s="1"/>
  <c r="C43" i="2"/>
  <c r="F69" i="2" s="1"/>
  <c r="F71" i="2" l="1"/>
  <c r="C67" i="2"/>
  <c r="H72" i="2"/>
  <c r="H67" i="2"/>
  <c r="C65" i="2"/>
  <c r="E65" i="2" s="1"/>
  <c r="C81" i="2" s="1"/>
  <c r="E81" i="2" s="1"/>
  <c r="H70" i="2"/>
  <c r="C72" i="2"/>
  <c r="E72" i="2" s="1"/>
  <c r="H73" i="2"/>
  <c r="F70" i="2"/>
  <c r="G70" i="2" s="1"/>
  <c r="C69" i="2"/>
  <c r="E69" i="2" s="1"/>
  <c r="C85" i="2" s="1"/>
  <c r="E85" i="2" s="1"/>
  <c r="H71" i="2"/>
  <c r="F65" i="2"/>
  <c r="G128" i="2" s="1"/>
  <c r="B45" i="3" s="1"/>
  <c r="E38" i="3" s="1"/>
  <c r="C71" i="2"/>
  <c r="E71" i="2" s="1"/>
  <c r="C87" i="2" s="1"/>
  <c r="E87" i="2" s="1"/>
  <c r="F68" i="2"/>
  <c r="G68" i="2" s="1"/>
  <c r="F67" i="2"/>
  <c r="G67" i="2" s="1"/>
  <c r="F66" i="2"/>
  <c r="G66" i="2" s="1"/>
  <c r="H65" i="2"/>
  <c r="C66" i="2"/>
  <c r="E66" i="2" s="1"/>
  <c r="C82" i="2" s="1"/>
  <c r="E82" i="2" s="1"/>
  <c r="H69" i="2"/>
  <c r="H68" i="2"/>
  <c r="C70" i="2"/>
  <c r="E70" i="2" s="1"/>
  <c r="C86" i="2" s="1"/>
  <c r="E86" i="2" s="1"/>
  <c r="F73" i="2"/>
  <c r="G73" i="2" s="1"/>
  <c r="H66" i="2"/>
  <c r="C73" i="2"/>
  <c r="E73" i="2" s="1"/>
  <c r="C90" i="2" s="1"/>
  <c r="E90" i="2" s="1"/>
  <c r="F72" i="2"/>
  <c r="G72" i="2" s="1"/>
  <c r="C68" i="2"/>
  <c r="E68" i="2" s="1"/>
  <c r="C84" i="2" s="1"/>
  <c r="E84" i="2" s="1"/>
  <c r="G71" i="2"/>
  <c r="G69" i="2"/>
  <c r="E67" i="2"/>
  <c r="C83" i="2" s="1"/>
  <c r="E83" i="2" s="1"/>
  <c r="L10" i="3"/>
  <c r="L11" i="3" s="1"/>
  <c r="I31" i="3"/>
  <c r="L24" i="3" s="1"/>
  <c r="G65" i="2" l="1"/>
  <c r="G131" i="2" s="1"/>
  <c r="I45" i="3" s="1"/>
  <c r="L38" i="3" s="1"/>
  <c r="C89" i="2"/>
  <c r="E89" i="2" s="1"/>
  <c r="C88" i="2"/>
  <c r="E88" i="2" s="1"/>
  <c r="E41" i="3"/>
  <c r="E42" i="3" s="1"/>
  <c r="E39" i="3"/>
  <c r="L41" i="3"/>
  <c r="L39" i="3"/>
  <c r="L13" i="3"/>
  <c r="L14" i="3" s="1"/>
  <c r="L15" i="3" s="1"/>
  <c r="L27" i="3"/>
  <c r="L25" i="3"/>
  <c r="L42" i="3" l="1"/>
  <c r="L43" i="3" s="1"/>
  <c r="E44" i="3"/>
  <c r="E46" i="3" s="1"/>
  <c r="E43" i="3"/>
  <c r="L16" i="3"/>
  <c r="L18" i="3" s="1"/>
  <c r="L28" i="3"/>
  <c r="L29" i="3" s="1"/>
  <c r="L44" i="3" l="1"/>
  <c r="L45" i="3" s="1"/>
  <c r="G132" i="2" s="1"/>
  <c r="E45" i="3"/>
  <c r="G129" i="2" s="1"/>
  <c r="G130" i="2" s="1"/>
  <c r="L17" i="3"/>
  <c r="G99" i="2" s="1"/>
  <c r="G100" i="2" s="1"/>
  <c r="L30" i="3"/>
  <c r="L31" i="3" s="1"/>
  <c r="G126" i="2" s="1"/>
  <c r="G127" i="2" s="1"/>
  <c r="L46" i="3" l="1"/>
  <c r="L32" i="3"/>
  <c r="G133" i="2"/>
</calcChain>
</file>

<file path=xl/sharedStrings.xml><?xml version="1.0" encoding="utf-8"?>
<sst xmlns="http://schemas.openxmlformats.org/spreadsheetml/2006/main" count="539" uniqueCount="187">
  <si>
    <t>EQUAÇÃO DO TERCEIRO GRAU</t>
  </si>
  <si>
    <t>X³ + AX² + BX + C = 0</t>
  </si>
  <si>
    <t>A =</t>
  </si>
  <si>
    <t>B =</t>
  </si>
  <si>
    <t>C =</t>
  </si>
  <si>
    <t>p =</t>
  </si>
  <si>
    <t>q =</t>
  </si>
  <si>
    <t xml:space="preserve">D = </t>
  </si>
  <si>
    <t xml:space="preserve">SITUAÇÃO 1  D &lt;  0 </t>
  </si>
  <si>
    <t>tres raízes reais distintas</t>
  </si>
  <si>
    <t>r =</t>
  </si>
  <si>
    <t>teta =</t>
  </si>
  <si>
    <t>X</t>
  </si>
  <si>
    <t>=</t>
  </si>
  <si>
    <t>E =</t>
  </si>
  <si>
    <t>SITUAÇÃO 2  D &gt; OU  =  0</t>
  </si>
  <si>
    <t>j</t>
  </si>
  <si>
    <t>SITUAÇÃO 2a  E &lt;   0</t>
  </si>
  <si>
    <t>SITUAÇÃO 2b  E &gt; OU  =  0</t>
  </si>
  <si>
    <t>ao menos uma rais real</t>
  </si>
  <si>
    <t>mais duas raizes complexas conjugadas</t>
  </si>
  <si>
    <t>mais duas raizes reais iguais</t>
  </si>
  <si>
    <t>transformação de variáveis</t>
  </si>
  <si>
    <t>ALTURA (H)</t>
  </si>
  <si>
    <t>m</t>
  </si>
  <si>
    <t>ESPESSURA DA LAJE DE TAMPA (et)</t>
  </si>
  <si>
    <t>Mpa</t>
  </si>
  <si>
    <t>MÓDULO DE ELASTICIDADE SECANTE</t>
  </si>
  <si>
    <t>PESO ESPECÍFICO DO CONCRETO</t>
  </si>
  <si>
    <t>kN/m³</t>
  </si>
  <si>
    <t>PESO ESPECÍFICO DA ÁGUA</t>
  </si>
  <si>
    <t>COEFICIENTE DE POISSON</t>
  </si>
  <si>
    <t>kN/m²</t>
  </si>
  <si>
    <t>MÓDULO DE ELASTICIDADE DO AÇO</t>
  </si>
  <si>
    <t>RESISTENCIA CARACTERÍSTICA DO CONCRETO</t>
  </si>
  <si>
    <t>VERIFICAÇÃO DA ESBELTEZ DA CASCA</t>
  </si>
  <si>
    <t>DIÂMETRO "eixo"</t>
  </si>
  <si>
    <t>LIGAÇÃO ELASTICAMENTE ENGASTADA</t>
  </si>
  <si>
    <t>RAIO "eixo"</t>
  </si>
  <si>
    <t>h/r   &lt;  (1/20   =  0,0500)</t>
  </si>
  <si>
    <t>ESPESSURA DA PAREDE (h)</t>
  </si>
  <si>
    <t>/E</t>
  </si>
  <si>
    <r>
      <t>J</t>
    </r>
    <r>
      <rPr>
        <vertAlign val="superscript"/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 xml:space="preserve"> =</t>
    </r>
  </si>
  <si>
    <r>
      <t>J</t>
    </r>
    <r>
      <rPr>
        <vertAlign val="superscript"/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 xml:space="preserve"> =</t>
    </r>
  </si>
  <si>
    <r>
      <t>X</t>
    </r>
    <r>
      <rPr>
        <vertAlign val="sub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Calibri"/>
        <family val="2"/>
        <scheme val="minor"/>
      </rPr>
      <t>3/2</t>
    </r>
    <r>
      <rPr>
        <sz val="11"/>
        <color theme="1"/>
        <rFont val="Calibri"/>
        <family val="2"/>
        <scheme val="minor"/>
      </rPr>
      <t>/X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/E</t>
    </r>
  </si>
  <si>
    <t>PRESSÃO DA ÁGUA EXERCIDA NA LAJE DE FUNDO (q)</t>
  </si>
  <si>
    <r>
      <t>J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 xml:space="preserve"> = J</t>
    </r>
    <r>
      <rPr>
        <vertAlign val="subscript"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 xml:space="preserve"> =</t>
    </r>
  </si>
  <si>
    <t>BETA =</t>
  </si>
  <si>
    <t>D =</t>
  </si>
  <si>
    <r>
      <t>J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 xml:space="preserve"> =</t>
    </r>
  </si>
  <si>
    <r>
      <t>J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 xml:space="preserve"> =</t>
    </r>
  </si>
  <si>
    <r>
      <t>J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 xml:space="preserve"> =</t>
    </r>
  </si>
  <si>
    <r>
      <t>J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 xml:space="preserve"> =</t>
    </r>
  </si>
  <si>
    <t>X1</t>
  </si>
  <si>
    <t>+</t>
  </si>
  <si>
    <t>X2</t>
  </si>
  <si>
    <r>
      <t>X2</t>
    </r>
    <r>
      <rPr>
        <b/>
        <vertAlign val="superscript"/>
        <sz val="11"/>
        <color theme="1"/>
        <rFont val="Calibri"/>
        <family val="2"/>
        <scheme val="minor"/>
      </rPr>
      <t>3/2</t>
    </r>
  </si>
  <si>
    <t>=   0</t>
  </si>
  <si>
    <t>X1  =</t>
  </si>
  <si>
    <t>X2     +</t>
  </si>
  <si>
    <r>
      <t>a = X2</t>
    </r>
    <r>
      <rPr>
        <vertAlign val="superscript"/>
        <sz val="11"/>
        <color theme="1"/>
        <rFont val="Calibri"/>
        <family val="2"/>
        <scheme val="minor"/>
      </rPr>
      <t>1/2</t>
    </r>
  </si>
  <si>
    <r>
      <t>a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X2</t>
    </r>
  </si>
  <si>
    <t xml:space="preserve">a =  </t>
  </si>
  <si>
    <t>kN.m/m</t>
  </si>
  <si>
    <t>kN/m</t>
  </si>
  <si>
    <r>
      <t>a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</si>
  <si>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a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</si>
  <si>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=  M</t>
    </r>
    <r>
      <rPr>
        <vertAlign val="subscript"/>
        <sz val="11"/>
        <color theme="1"/>
        <rFont val="Calibri"/>
        <family val="2"/>
        <scheme val="minor"/>
      </rPr>
      <t>0</t>
    </r>
  </si>
  <si>
    <t>Desloc.</t>
  </si>
  <si>
    <t>Ny</t>
  </si>
  <si>
    <t>Nt</t>
  </si>
  <si>
    <t>My</t>
  </si>
  <si>
    <t>Mt</t>
  </si>
  <si>
    <t>Vy</t>
  </si>
  <si>
    <t>(m)</t>
  </si>
  <si>
    <t>(kN/m)</t>
  </si>
  <si>
    <t>(kN.m/m)</t>
  </si>
  <si>
    <t>Alt.</t>
  </si>
  <si>
    <r>
      <t>X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 =  -V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 </t>
    </r>
  </si>
  <si>
    <t>RESISTENCIA CARACTERÍSTICA DO AÇO</t>
  </si>
  <si>
    <t>Por área</t>
  </si>
  <si>
    <t>cm²/m</t>
  </si>
  <si>
    <t>cm²/m/face</t>
  </si>
  <si>
    <t>y</t>
  </si>
  <si>
    <t>ARMADURA MÍNIMA</t>
  </si>
  <si>
    <t>ARMADURA HORIZONTAL NAS PAREDES</t>
  </si>
  <si>
    <t>LAJE DE TAMPA</t>
  </si>
  <si>
    <t>Carga uniformemente distribuida</t>
  </si>
  <si>
    <t>Momentos fletores Mt e Mr no centro da laje</t>
  </si>
  <si>
    <t>Momentos fletores para armação ortogonal</t>
  </si>
  <si>
    <t>fck</t>
  </si>
  <si>
    <t>fc</t>
  </si>
  <si>
    <t>KN/cm²</t>
  </si>
  <si>
    <t>fyk</t>
  </si>
  <si>
    <t>fyd</t>
  </si>
  <si>
    <t>yc</t>
  </si>
  <si>
    <t>Md</t>
  </si>
  <si>
    <t>KNxcm</t>
  </si>
  <si>
    <t>ya</t>
  </si>
  <si>
    <t>DL</t>
  </si>
  <si>
    <t>cm</t>
  </si>
  <si>
    <t>yf</t>
  </si>
  <si>
    <t xml:space="preserve">D </t>
  </si>
  <si>
    <t>b</t>
  </si>
  <si>
    <t>k</t>
  </si>
  <si>
    <t>h</t>
  </si>
  <si>
    <t>k'</t>
  </si>
  <si>
    <t>d'</t>
  </si>
  <si>
    <r>
      <t>A</t>
    </r>
    <r>
      <rPr>
        <vertAlign val="subscript"/>
        <sz val="10"/>
        <rFont val="Arial"/>
        <family val="2"/>
      </rPr>
      <t>S1</t>
    </r>
  </si>
  <si>
    <t>cm²</t>
  </si>
  <si>
    <t>KL</t>
  </si>
  <si>
    <r>
      <t>A</t>
    </r>
    <r>
      <rPr>
        <vertAlign val="subscript"/>
        <sz val="10"/>
        <rFont val="Arial"/>
        <family val="2"/>
      </rPr>
      <t>S2</t>
    </r>
  </si>
  <si>
    <t>Mmáx</t>
  </si>
  <si>
    <t>KNxm</t>
  </si>
  <si>
    <r>
      <t>A</t>
    </r>
    <r>
      <rPr>
        <b/>
        <vertAlign val="subscript"/>
        <sz val="10"/>
        <rFont val="Arial"/>
        <family val="2"/>
      </rPr>
      <t>S</t>
    </r>
  </si>
  <si>
    <r>
      <t>A'</t>
    </r>
    <r>
      <rPr>
        <b/>
        <vertAlign val="subscript"/>
        <sz val="10"/>
        <rFont val="Arial"/>
        <family val="2"/>
      </rPr>
      <t>S</t>
    </r>
  </si>
  <si>
    <t>mm    a c/</t>
  </si>
  <si>
    <t xml:space="preserve">cm </t>
  </si>
  <si>
    <t>LAJE DE FUNDO</t>
  </si>
  <si>
    <t>BALANÇO DA LAJE DE FUNDO</t>
  </si>
  <si>
    <t>SOBRE CARGA NA LAJE DA TAMPA</t>
  </si>
  <si>
    <t>Área de aço calculada (As)</t>
  </si>
  <si>
    <t>Mr =</t>
  </si>
  <si>
    <t>a =</t>
  </si>
  <si>
    <t>Mt =</t>
  </si>
  <si>
    <t>v =</t>
  </si>
  <si>
    <t>d =</t>
  </si>
  <si>
    <r>
      <t>f</t>
    </r>
    <r>
      <rPr>
        <vertAlign val="subscript"/>
        <sz val="11"/>
        <color theme="1"/>
        <rFont val="Calibri"/>
        <family val="2"/>
        <scheme val="minor"/>
      </rPr>
      <t>máx</t>
    </r>
    <r>
      <rPr>
        <sz val="11"/>
        <color theme="1"/>
        <rFont val="Calibri"/>
        <family val="2"/>
        <scheme val="minor"/>
      </rPr>
      <t xml:space="preserve"> =</t>
    </r>
  </si>
  <si>
    <t>kNxm</t>
  </si>
  <si>
    <t>LAJE CIRCULAR ENGASTADA (TAMPA)</t>
  </si>
  <si>
    <t>LAJE CIRCULAR ENGASTADA (FUNDO)</t>
  </si>
  <si>
    <t>Xr =</t>
  </si>
  <si>
    <t>Xt =</t>
  </si>
  <si>
    <t>Momento fletores Xr no bordo da laje</t>
  </si>
  <si>
    <t>Momento fletore Xt no bordo da laje</t>
  </si>
  <si>
    <t>ARMAÇÃO ORTOGONAL - LAJE DE TAMPA</t>
  </si>
  <si>
    <t>ARMAÇÃO RADIAL - LAJE DE TAMPA</t>
  </si>
  <si>
    <t>Distribuição da armadura ortogonal</t>
  </si>
  <si>
    <t>Distribuição da armadura radial</t>
  </si>
  <si>
    <t>Distribuição da armadura tangencial</t>
  </si>
  <si>
    <t>ARMAÇÃO TANGENCIAL - LAJE DE TAMPA</t>
  </si>
  <si>
    <t>ARMAÇÃO ORTOGONAL - LAJE DE FUNDO</t>
  </si>
  <si>
    <t>ARMAÇÃO RADIAL - LAJE DE FUNDO</t>
  </si>
  <si>
    <t>ARMAÇÃO TANGENCIAL - LAJE DE FUNDO</t>
  </si>
  <si>
    <r>
      <t>X2</t>
    </r>
    <r>
      <rPr>
        <b/>
        <vertAlign val="superscript"/>
        <sz val="11"/>
        <color theme="1"/>
        <rFont val="Calibri"/>
        <family val="2"/>
        <scheme val="minor"/>
      </rPr>
      <t xml:space="preserve">3/2  </t>
    </r>
    <r>
      <rPr>
        <b/>
        <sz val="11"/>
        <color theme="1"/>
        <rFont val="Calibri"/>
        <family val="2"/>
        <scheme val="minor"/>
      </rPr>
      <t>=  0</t>
    </r>
  </si>
  <si>
    <t>SISTEMA DE EQUAÇÕES</t>
  </si>
  <si>
    <t>ESFORÇOS INTERNOS (PAREDES)</t>
  </si>
  <si>
    <t>EQUAÇÃO ALGÉBRICA DO TERCEIRO GRAU</t>
  </si>
  <si>
    <t>Distribuição da armadura na parede</t>
  </si>
  <si>
    <t xml:space="preserve">SOLUÇÃO REAL DA EQUAÇÃO </t>
  </si>
  <si>
    <t>PESO PRÓPRIO DA LAJE DE TAMPA</t>
  </si>
  <si>
    <r>
      <t>rr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</t>
    </r>
  </si>
  <si>
    <r>
      <t>rt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</t>
    </r>
  </si>
  <si>
    <t>ESPESSURA DA LAJE DE FUNDO NO CENTRO (h')</t>
  </si>
  <si>
    <t>ESPESSURA DA LAJE DE FUNDO NA PERIFERIA (h")</t>
  </si>
  <si>
    <t>As (cm²)</t>
  </si>
  <si>
    <t>DIÂM. (mm)</t>
  </si>
  <si>
    <t>A/C (cm)</t>
  </si>
  <si>
    <t>ADOTADO</t>
  </si>
  <si>
    <t>REVESTIMENTO NA LAJE DE TAMPA</t>
  </si>
  <si>
    <t>PROTEÇÃO TÉRMICA COM BRITA NA LAJE DE TAMPA</t>
  </si>
  <si>
    <t>PESO ESPECÍFICO DA PEDRA BRITADA</t>
  </si>
  <si>
    <t>ESPESSURA DA CAMADA DE PROTEÇÃO TÉRMICA</t>
  </si>
  <si>
    <t xml:space="preserve">h/r = </t>
  </si>
  <si>
    <t>d' =</t>
  </si>
  <si>
    <t>concreto</t>
  </si>
  <si>
    <t>formas</t>
  </si>
  <si>
    <t>circular</t>
  </si>
  <si>
    <t>8.0 C/20</t>
  </si>
  <si>
    <t>DECANTADOR SECUNDÁRIO</t>
  </si>
  <si>
    <t>8.0 C/17</t>
  </si>
  <si>
    <t>8.0 C/16</t>
  </si>
  <si>
    <t>SISTEMA DE ESGOTOS DE POTIM</t>
  </si>
  <si>
    <t>POTIM - SP</t>
  </si>
  <si>
    <t>CÁLCULO ESTRUTURAL</t>
  </si>
  <si>
    <t>Verificação das fundações</t>
  </si>
  <si>
    <t>kN</t>
  </si>
  <si>
    <t>Peso da estrutura</t>
  </si>
  <si>
    <t>Peso do conteúdo</t>
  </si>
  <si>
    <t>Peso tital</t>
  </si>
  <si>
    <t>m²</t>
  </si>
  <si>
    <t>Área em planta</t>
  </si>
  <si>
    <t>kgf/cm²</t>
  </si>
  <si>
    <t>Tensão no solo</t>
  </si>
  <si>
    <t>Carga transmitida diretamente ao solo</t>
  </si>
  <si>
    <t>Carga transmitidas ás estacas</t>
  </si>
  <si>
    <t>Capacidade de carga das estacas 20 x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</si>
</sst>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"/>
    <numFmt numFmtId="166" formatCode="0.0"/>
    <numFmt numFmtId="167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bscript"/>
      <sz val="10"/>
      <name val="Arial"/>
      <family val="2"/>
    </font>
    <font>
      <b/>
      <vertAlign val="subscript"/>
      <sz val="10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right"/>
    </xf>
    <xf numFmtId="0" fontId="1" fillId="0" borderId="4" xfId="0" applyFont="1" applyBorder="1"/>
    <xf numFmtId="0" fontId="0" fillId="0" borderId="0" xfId="0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1" fillId="2" borderId="0" xfId="0" quotePrefix="1" applyFont="1" applyFill="1" applyBorder="1" applyAlignment="1">
      <alignment horizontal="center"/>
    </xf>
    <xf numFmtId="0" fontId="1" fillId="2" borderId="0" xfId="0" applyFont="1" applyFill="1" applyBorder="1"/>
    <xf numFmtId="0" fontId="1" fillId="0" borderId="4" xfId="0" applyFont="1" applyBorder="1" applyAlignment="1"/>
    <xf numFmtId="0" fontId="0" fillId="0" borderId="0" xfId="0" applyBorder="1" applyAlignment="1"/>
    <xf numFmtId="0" fontId="1" fillId="2" borderId="0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left"/>
    </xf>
    <xf numFmtId="0" fontId="1" fillId="2" borderId="7" xfId="0" quotePrefix="1" applyFont="1" applyFill="1" applyBorder="1" applyAlignment="1">
      <alignment horizontal="center"/>
    </xf>
    <xf numFmtId="0" fontId="1" fillId="2" borderId="7" xfId="0" applyFont="1" applyFill="1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2" fontId="0" fillId="0" borderId="18" xfId="0" applyNumberFormat="1" applyBorder="1" applyAlignment="1">
      <alignment horizontal="center"/>
    </xf>
    <xf numFmtId="11" fontId="0" fillId="0" borderId="19" xfId="0" applyNumberFormat="1" applyBorder="1" applyAlignment="1">
      <alignment horizontal="center"/>
    </xf>
    <xf numFmtId="2" fontId="0" fillId="0" borderId="19" xfId="0" applyNumberFormat="1" applyBorder="1" applyAlignment="1"/>
    <xf numFmtId="2" fontId="0" fillId="0" borderId="20" xfId="0" applyNumberFormat="1" applyBorder="1" applyAlignment="1"/>
    <xf numFmtId="2" fontId="0" fillId="0" borderId="21" xfId="0" applyNumberFormat="1" applyBorder="1" applyAlignment="1">
      <alignment horizontal="center"/>
    </xf>
    <xf numFmtId="11" fontId="0" fillId="0" borderId="22" xfId="0" applyNumberFormat="1" applyBorder="1" applyAlignment="1">
      <alignment horizontal="center"/>
    </xf>
    <xf numFmtId="2" fontId="0" fillId="0" borderId="22" xfId="0" applyNumberFormat="1" applyBorder="1" applyAlignment="1"/>
    <xf numFmtId="2" fontId="0" fillId="0" borderId="23" xfId="0" applyNumberFormat="1" applyBorder="1" applyAlignment="1"/>
    <xf numFmtId="2" fontId="0" fillId="0" borderId="24" xfId="0" applyNumberFormat="1" applyBorder="1" applyAlignment="1">
      <alignment horizontal="center"/>
    </xf>
    <xf numFmtId="11" fontId="0" fillId="0" borderId="25" xfId="0" applyNumberFormat="1" applyBorder="1" applyAlignment="1">
      <alignment horizontal="center"/>
    </xf>
    <xf numFmtId="2" fontId="0" fillId="0" borderId="25" xfId="0" applyNumberFormat="1" applyBorder="1" applyAlignment="1"/>
    <xf numFmtId="2" fontId="0" fillId="0" borderId="26" xfId="0" applyNumberFormat="1" applyBorder="1" applyAlignment="1"/>
    <xf numFmtId="165" fontId="0" fillId="0" borderId="0" xfId="0" applyNumberFormat="1"/>
    <xf numFmtId="166" fontId="0" fillId="0" borderId="0" xfId="0" applyNumberFormat="1"/>
    <xf numFmtId="0" fontId="5" fillId="0" borderId="0" xfId="0" applyFont="1"/>
    <xf numFmtId="2" fontId="5" fillId="0" borderId="0" xfId="0" applyNumberFormat="1" applyFont="1"/>
    <xf numFmtId="0" fontId="0" fillId="0" borderId="0" xfId="0" applyAlignment="1">
      <alignment horizontal="left"/>
    </xf>
    <xf numFmtId="167" fontId="0" fillId="0" borderId="0" xfId="0" applyNumberFormat="1"/>
    <xf numFmtId="0" fontId="0" fillId="0" borderId="0" xfId="0" applyAlignment="1">
      <alignment horizontal="center"/>
    </xf>
    <xf numFmtId="0" fontId="0" fillId="0" borderId="6" xfId="0" applyBorder="1"/>
    <xf numFmtId="165" fontId="1" fillId="0" borderId="8" xfId="0" applyNumberFormat="1" applyFont="1" applyBorder="1"/>
    <xf numFmtId="165" fontId="0" fillId="0" borderId="0" xfId="0" applyNumberFormat="1" applyBorder="1"/>
    <xf numFmtId="2" fontId="0" fillId="3" borderId="19" xfId="0" applyNumberFormat="1" applyFill="1" applyBorder="1" applyAlignment="1"/>
    <xf numFmtId="2" fontId="0" fillId="3" borderId="22" xfId="0" applyNumberFormat="1" applyFill="1" applyBorder="1" applyAlignment="1"/>
    <xf numFmtId="0" fontId="0" fillId="3" borderId="13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2" fontId="0" fillId="3" borderId="25" xfId="0" applyNumberFormat="1" applyFill="1" applyBorder="1" applyAlignment="1"/>
    <xf numFmtId="0" fontId="0" fillId="3" borderId="0" xfId="0" applyFill="1"/>
    <xf numFmtId="166" fontId="0" fillId="3" borderId="0" xfId="0" applyNumberFormat="1" applyFill="1"/>
    <xf numFmtId="165" fontId="1" fillId="0" borderId="0" xfId="0" applyNumberFormat="1" applyFont="1" applyBorder="1"/>
    <xf numFmtId="0" fontId="0" fillId="0" borderId="0" xfId="0" applyFill="1"/>
    <xf numFmtId="166" fontId="0" fillId="0" borderId="0" xfId="0" applyNumberFormat="1" applyFill="1"/>
    <xf numFmtId="0" fontId="0" fillId="3" borderId="27" xfId="0" applyFill="1" applyBorder="1" applyAlignment="1">
      <alignment horizontal="right"/>
    </xf>
    <xf numFmtId="2" fontId="0" fillId="3" borderId="28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/>
    <xf numFmtId="165" fontId="0" fillId="3" borderId="0" xfId="0" applyNumberFormat="1" applyFill="1" applyBorder="1"/>
    <xf numFmtId="0" fontId="0" fillId="3" borderId="12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2" fontId="0" fillId="0" borderId="0" xfId="0" applyNumberFormat="1" applyFill="1" applyBorder="1" applyAlignment="1">
      <alignment horizontal="center"/>
    </xf>
    <xf numFmtId="2" fontId="0" fillId="3" borderId="27" xfId="0" applyNumberFormat="1" applyFill="1" applyBorder="1"/>
    <xf numFmtId="0" fontId="1" fillId="3" borderId="9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0" fontId="0" fillId="3" borderId="9" xfId="0" quotePrefix="1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2" fontId="1" fillId="0" borderId="0" xfId="0" applyNumberFormat="1" applyFont="1" applyFill="1" applyBorder="1"/>
    <xf numFmtId="2" fontId="0" fillId="0" borderId="29" xfId="0" applyNumberFormat="1" applyFill="1" applyBorder="1"/>
    <xf numFmtId="0" fontId="1" fillId="0" borderId="30" xfId="0" applyFont="1" applyFill="1" applyBorder="1" applyAlignment="1">
      <alignment horizontal="center"/>
    </xf>
    <xf numFmtId="2" fontId="0" fillId="0" borderId="30" xfId="0" applyNumberFormat="1" applyFill="1" applyBorder="1"/>
    <xf numFmtId="2" fontId="0" fillId="0" borderId="30" xfId="0" applyNumberFormat="1" applyFill="1" applyBorder="1" applyAlignment="1">
      <alignment horizontal="center"/>
    </xf>
    <xf numFmtId="0" fontId="0" fillId="0" borderId="30" xfId="0" quotePrefix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2" fontId="0" fillId="0" borderId="32" xfId="0" applyNumberFormat="1" applyFill="1" applyBorder="1"/>
    <xf numFmtId="0" fontId="1" fillId="0" borderId="33" xfId="0" applyFont="1" applyFill="1" applyBorder="1" applyAlignment="1">
      <alignment horizontal="center"/>
    </xf>
    <xf numFmtId="2" fontId="0" fillId="0" borderId="33" xfId="0" applyNumberFormat="1" applyFill="1" applyBorder="1"/>
    <xf numFmtId="2" fontId="0" fillId="0" borderId="33" xfId="0" applyNumberFormat="1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right"/>
    </xf>
    <xf numFmtId="0" fontId="1" fillId="0" borderId="33" xfId="0" quotePrefix="1" applyFont="1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2" fontId="0" fillId="0" borderId="35" xfId="0" applyNumberFormat="1" applyFill="1" applyBorder="1"/>
    <xf numFmtId="0" fontId="0" fillId="0" borderId="36" xfId="0" applyFill="1" applyBorder="1" applyAlignment="1">
      <alignment horizontal="center"/>
    </xf>
    <xf numFmtId="2" fontId="0" fillId="0" borderId="36" xfId="0" applyNumberFormat="1" applyFill="1" applyBorder="1"/>
    <xf numFmtId="0" fontId="1" fillId="0" borderId="36" xfId="0" applyFont="1" applyFill="1" applyBorder="1" applyAlignment="1">
      <alignment horizontal="center"/>
    </xf>
    <xf numFmtId="2" fontId="0" fillId="0" borderId="36" xfId="0" applyNumberFormat="1" applyFill="1" applyBorder="1" applyAlignment="1">
      <alignment horizontal="center"/>
    </xf>
    <xf numFmtId="0" fontId="0" fillId="0" borderId="36" xfId="0" quotePrefix="1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38" xfId="0" applyBorder="1"/>
    <xf numFmtId="2" fontId="0" fillId="0" borderId="39" xfId="0" applyNumberFormat="1" applyBorder="1"/>
    <xf numFmtId="0" fontId="0" fillId="0" borderId="39" xfId="0" applyBorder="1"/>
    <xf numFmtId="0" fontId="0" fillId="0" borderId="40" xfId="0" applyBorder="1"/>
    <xf numFmtId="0" fontId="0" fillId="0" borderId="32" xfId="0" applyBorder="1"/>
    <xf numFmtId="2" fontId="0" fillId="0" borderId="33" xfId="0" applyNumberFormat="1" applyBorder="1"/>
    <xf numFmtId="0" fontId="0" fillId="0" borderId="33" xfId="0" applyBorder="1"/>
    <xf numFmtId="0" fontId="0" fillId="0" borderId="34" xfId="0" applyBorder="1"/>
    <xf numFmtId="165" fontId="0" fillId="0" borderId="33" xfId="0" applyNumberFormat="1" applyBorder="1"/>
    <xf numFmtId="0" fontId="0" fillId="0" borderId="33" xfId="0" applyFill="1" applyBorder="1"/>
    <xf numFmtId="11" fontId="0" fillId="0" borderId="33" xfId="0" applyNumberFormat="1" applyBorder="1"/>
    <xf numFmtId="1" fontId="0" fillId="0" borderId="33" xfId="0" applyNumberFormat="1" applyBorder="1"/>
    <xf numFmtId="2" fontId="0" fillId="0" borderId="33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/>
    </xf>
    <xf numFmtId="1" fontId="0" fillId="0" borderId="33" xfId="0" applyNumberFormat="1" applyBorder="1" applyAlignment="1">
      <alignment horizontal="center"/>
    </xf>
    <xf numFmtId="165" fontId="1" fillId="0" borderId="7" xfId="0" applyNumberFormat="1" applyFont="1" applyBorder="1"/>
    <xf numFmtId="0" fontId="1" fillId="0" borderId="7" xfId="0" applyFont="1" applyBorder="1"/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166" fontId="0" fillId="0" borderId="33" xfId="0" applyNumberFormat="1" applyBorder="1" applyAlignment="1">
      <alignment horizontal="center"/>
    </xf>
    <xf numFmtId="2" fontId="0" fillId="3" borderId="33" xfId="0" applyNumberFormat="1" applyFill="1" applyBorder="1" applyAlignment="1">
      <alignment horizontal="center" vertical="center"/>
    </xf>
    <xf numFmtId="2" fontId="0" fillId="3" borderId="33" xfId="0" applyNumberFormat="1" applyFill="1" applyBorder="1" applyAlignment="1">
      <alignment horizontal="center"/>
    </xf>
    <xf numFmtId="166" fontId="0" fillId="3" borderId="33" xfId="0" applyNumberFormat="1" applyFill="1" applyBorder="1" applyAlignment="1">
      <alignment horizontal="center"/>
    </xf>
    <xf numFmtId="1" fontId="0" fillId="3" borderId="33" xfId="0" applyNumberFormat="1" applyFill="1" applyBorder="1" applyAlignment="1">
      <alignment horizontal="center"/>
    </xf>
    <xf numFmtId="0" fontId="1" fillId="0" borderId="33" xfId="0" applyFont="1" applyBorder="1"/>
    <xf numFmtId="167" fontId="0" fillId="0" borderId="0" xfId="0" applyNumberFormat="1" applyAlignment="1">
      <alignment horizontal="left"/>
    </xf>
    <xf numFmtId="167" fontId="0" fillId="3" borderId="0" xfId="0" applyNumberFormat="1" applyFill="1"/>
    <xf numFmtId="0" fontId="0" fillId="3" borderId="0" xfId="0" applyFill="1" applyAlignment="1"/>
    <xf numFmtId="2" fontId="0" fillId="0" borderId="43" xfId="0" applyNumberFormat="1" applyBorder="1" applyAlignment="1"/>
    <xf numFmtId="0" fontId="1" fillId="3" borderId="0" xfId="0" applyFont="1" applyFill="1"/>
    <xf numFmtId="0" fontId="0" fillId="4" borderId="0" xfId="0" applyFill="1"/>
    <xf numFmtId="0" fontId="1" fillId="0" borderId="0" xfId="0" applyFont="1" applyFill="1" applyAlignment="1">
      <alignment horizontal="center"/>
    </xf>
    <xf numFmtId="11" fontId="0" fillId="0" borderId="0" xfId="0" applyNumberFormat="1" applyFill="1"/>
    <xf numFmtId="0" fontId="1" fillId="0" borderId="0" xfId="0" applyFont="1" applyFill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0" xfId="0" applyFont="1" applyAlignment="1"/>
    <xf numFmtId="1" fontId="0" fillId="0" borderId="0" xfId="0" applyNumberFormat="1" applyFont="1" applyAlignment="1"/>
    <xf numFmtId="1" fontId="0" fillId="0" borderId="0" xfId="0" applyNumberFormat="1"/>
    <xf numFmtId="2" fontId="0" fillId="0" borderId="0" xfId="0" applyNumberFormat="1" applyFont="1" applyAlignment="1"/>
    <xf numFmtId="0" fontId="1" fillId="5" borderId="0" xfId="0" applyFont="1" applyFill="1" applyBorder="1"/>
    <xf numFmtId="0" fontId="0" fillId="5" borderId="0" xfId="0" applyFill="1" applyBorder="1"/>
    <xf numFmtId="0" fontId="0" fillId="3" borderId="0" xfId="0" applyFill="1" applyBorder="1"/>
    <xf numFmtId="2" fontId="0" fillId="0" borderId="0" xfId="0" applyNumberFormat="1" applyBorder="1"/>
    <xf numFmtId="166" fontId="0" fillId="0" borderId="0" xfId="0" applyNumberFormat="1" applyBorder="1"/>
    <xf numFmtId="0" fontId="5" fillId="0" borderId="0" xfId="0" applyFont="1" applyBorder="1"/>
    <xf numFmtId="2" fontId="5" fillId="0" borderId="0" xfId="0" applyNumberFormat="1" applyFont="1" applyBorder="1"/>
    <xf numFmtId="2" fontId="0" fillId="3" borderId="0" xfId="0" applyNumberFormat="1" applyFill="1" applyBorder="1"/>
    <xf numFmtId="0" fontId="5" fillId="3" borderId="0" xfId="0" applyFont="1" applyFill="1" applyBorder="1"/>
    <xf numFmtId="2" fontId="5" fillId="3" borderId="0" xfId="0" applyNumberFormat="1" applyFont="1" applyFill="1" applyBorder="1"/>
    <xf numFmtId="11" fontId="8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30"/>
  <sheetViews>
    <sheetView workbookViewId="0">
      <selection activeCell="K15" sqref="K15"/>
    </sheetView>
  </sheetViews>
  <sheetFormatPr defaultRowHeight="15" x14ac:dyDescent="0.25"/>
  <cols>
    <col min="5" max="5" width="4.28515625" customWidth="1"/>
    <col min="8" max="8" width="2.5703125" customWidth="1"/>
  </cols>
  <sheetData>
    <row r="1" spans="3:8" ht="15.75" thickBot="1" x14ac:dyDescent="0.3"/>
    <row r="2" spans="3:8" ht="15.75" thickTop="1" x14ac:dyDescent="0.25">
      <c r="C2" s="1" t="s">
        <v>0</v>
      </c>
      <c r="D2" s="2"/>
      <c r="E2" s="2"/>
      <c r="F2" s="2"/>
      <c r="G2" s="2"/>
      <c r="H2" s="3"/>
    </row>
    <row r="3" spans="3:8" x14ac:dyDescent="0.25">
      <c r="C3" s="4" t="s">
        <v>1</v>
      </c>
      <c r="D3" s="5"/>
      <c r="E3" s="5"/>
      <c r="F3" s="5"/>
      <c r="G3" s="5"/>
      <c r="H3" s="6"/>
    </row>
    <row r="4" spans="3:8" x14ac:dyDescent="0.25">
      <c r="C4" s="7" t="s">
        <v>2</v>
      </c>
      <c r="D4" s="5">
        <f>'TQ CILIND.'!E58/'TQ CILIND.'!B58</f>
        <v>7.293578007085423</v>
      </c>
      <c r="E4" s="5"/>
      <c r="F4" s="5"/>
      <c r="G4" s="5"/>
      <c r="H4" s="6"/>
    </row>
    <row r="5" spans="3:8" x14ac:dyDescent="0.25">
      <c r="C5" s="7" t="s">
        <v>3</v>
      </c>
      <c r="D5" s="5">
        <v>0</v>
      </c>
      <c r="E5" s="5"/>
      <c r="F5" s="5"/>
      <c r="G5" s="5"/>
      <c r="H5" s="6"/>
    </row>
    <row r="6" spans="3:8" x14ac:dyDescent="0.25">
      <c r="C6" s="7" t="s">
        <v>4</v>
      </c>
      <c r="D6" s="5">
        <f>'TQ CILIND.'!H58/'TQ CILIND.'!B58</f>
        <v>-48.274671988141939</v>
      </c>
      <c r="E6" s="5"/>
      <c r="F6" s="5"/>
      <c r="G6" s="5"/>
      <c r="H6" s="6"/>
    </row>
    <row r="7" spans="3:8" x14ac:dyDescent="0.25">
      <c r="C7" s="4" t="s">
        <v>22</v>
      </c>
      <c r="D7" s="5"/>
      <c r="E7" s="5"/>
      <c r="F7" s="5"/>
      <c r="G7" s="5"/>
      <c r="H7" s="6"/>
    </row>
    <row r="8" spans="3:8" x14ac:dyDescent="0.25">
      <c r="C8" s="7" t="s">
        <v>5</v>
      </c>
      <c r="D8" s="5">
        <f>D5-D4^2/3</f>
        <v>-17.732093381813389</v>
      </c>
      <c r="E8" s="5"/>
      <c r="F8" s="5"/>
      <c r="G8" s="5"/>
      <c r="H8" s="6"/>
    </row>
    <row r="9" spans="3:8" x14ac:dyDescent="0.25">
      <c r="C9" s="7" t="s">
        <v>6</v>
      </c>
      <c r="D9" s="5">
        <f>D6-D4*D5/3+2*D4^3/27</f>
        <v>-19.534581697213245</v>
      </c>
      <c r="E9" s="5"/>
      <c r="F9" s="5"/>
      <c r="G9" s="5"/>
      <c r="H9" s="6"/>
    </row>
    <row r="10" spans="3:8" x14ac:dyDescent="0.25">
      <c r="C10" s="7" t="s">
        <v>7</v>
      </c>
      <c r="D10" s="5">
        <f>D9^2/4+D8^3/27</f>
        <v>-111.09822696140876</v>
      </c>
      <c r="E10" s="5"/>
      <c r="F10" s="5"/>
      <c r="G10" s="5"/>
      <c r="H10" s="6"/>
    </row>
    <row r="11" spans="3:8" x14ac:dyDescent="0.25">
      <c r="C11" s="8" t="s">
        <v>8</v>
      </c>
      <c r="D11" s="5"/>
      <c r="E11" s="5"/>
      <c r="F11" s="5"/>
      <c r="G11" s="5"/>
      <c r="H11" s="6"/>
    </row>
    <row r="12" spans="3:8" x14ac:dyDescent="0.25">
      <c r="C12" s="7" t="s">
        <v>10</v>
      </c>
      <c r="D12" s="5">
        <f>SQRT(D9^2/4-D10)</f>
        <v>14.370045145464346</v>
      </c>
      <c r="E12" s="9"/>
      <c r="F12" s="5"/>
      <c r="G12" s="5"/>
      <c r="H12" s="6"/>
    </row>
    <row r="13" spans="3:8" x14ac:dyDescent="0.25">
      <c r="C13" s="7" t="s">
        <v>11</v>
      </c>
      <c r="D13" s="5">
        <f xml:space="preserve"> ACOS(-D9/2/D12)</f>
        <v>0.8234455089473649</v>
      </c>
      <c r="E13" s="9"/>
      <c r="F13" s="5"/>
      <c r="G13" s="5"/>
      <c r="H13" s="6"/>
    </row>
    <row r="14" spans="3:8" x14ac:dyDescent="0.25">
      <c r="C14" s="4" t="s">
        <v>9</v>
      </c>
      <c r="D14" s="5"/>
      <c r="E14" s="5"/>
      <c r="F14" s="5"/>
      <c r="G14" s="5"/>
      <c r="H14" s="6"/>
    </row>
    <row r="15" spans="3:8" x14ac:dyDescent="0.25">
      <c r="C15" s="10" t="s">
        <v>12</v>
      </c>
      <c r="D15" s="11">
        <v>1</v>
      </c>
      <c r="E15" s="12" t="s">
        <v>13</v>
      </c>
      <c r="F15" s="13">
        <f>2*D$12^(1/3)*COS((D$13+2*(D15-1)*PI())/3)-D$4/3</f>
        <v>2.2491730382633386</v>
      </c>
      <c r="G15" s="5"/>
      <c r="H15" s="6"/>
    </row>
    <row r="16" spans="3:8" x14ac:dyDescent="0.25">
      <c r="C16" s="10" t="s">
        <v>12</v>
      </c>
      <c r="D16" s="11">
        <v>2</v>
      </c>
      <c r="E16" s="12" t="s">
        <v>13</v>
      </c>
      <c r="F16" s="13">
        <f>2*D$12^(1/3)*COS((D$13+2*(D16-1)*PI())/3)-D$4/3</f>
        <v>-5.9127457589774348</v>
      </c>
      <c r="G16" s="5"/>
      <c r="H16" s="6"/>
    </row>
    <row r="17" spans="3:8" x14ac:dyDescent="0.25">
      <c r="C17" s="10" t="s">
        <v>12</v>
      </c>
      <c r="D17" s="11">
        <v>3</v>
      </c>
      <c r="E17" s="12" t="s">
        <v>13</v>
      </c>
      <c r="F17" s="13">
        <f>2*D$12^(1/3)*COS((D$13+2*(D17-1)*PI())/3)-D$4/3</f>
        <v>-3.6300052863713255</v>
      </c>
      <c r="G17" s="5"/>
      <c r="H17" s="6"/>
    </row>
    <row r="18" spans="3:8" x14ac:dyDescent="0.25">
      <c r="C18" s="14" t="s">
        <v>15</v>
      </c>
      <c r="D18" s="15"/>
      <c r="E18" s="5"/>
      <c r="F18" s="5"/>
      <c r="G18" s="5"/>
      <c r="H18" s="6"/>
    </row>
    <row r="19" spans="3:8" x14ac:dyDescent="0.25">
      <c r="C19" s="4" t="s">
        <v>19</v>
      </c>
      <c r="D19" s="15"/>
      <c r="E19" s="5"/>
      <c r="F19" s="5"/>
      <c r="G19" s="5"/>
      <c r="H19" s="6"/>
    </row>
    <row r="20" spans="3:8" x14ac:dyDescent="0.25">
      <c r="C20" s="10" t="s">
        <v>12</v>
      </c>
      <c r="D20" s="11">
        <v>1</v>
      </c>
      <c r="E20" s="12" t="s">
        <v>13</v>
      </c>
      <c r="F20" s="13" t="e">
        <f>(-D9/2+SQRT(D10))^(1/3)+(-D9/2-SQRT(D10))^(1/3)-D4/3</f>
        <v>#NUM!</v>
      </c>
      <c r="G20" s="5"/>
      <c r="H20" s="6"/>
    </row>
    <row r="21" spans="3:8" x14ac:dyDescent="0.25">
      <c r="C21" s="7" t="s">
        <v>14</v>
      </c>
      <c r="D21" s="5" t="e">
        <f>(D4+F20)^2+4*D6/F20</f>
        <v>#NUM!</v>
      </c>
      <c r="E21" s="5"/>
      <c r="F21" s="5"/>
      <c r="G21" s="5"/>
      <c r="H21" s="6"/>
    </row>
    <row r="22" spans="3:8" x14ac:dyDescent="0.25">
      <c r="C22" s="14" t="s">
        <v>17</v>
      </c>
      <c r="D22" s="5"/>
      <c r="E22" s="5"/>
      <c r="F22" s="5"/>
      <c r="G22" s="5"/>
      <c r="H22" s="6"/>
    </row>
    <row r="23" spans="3:8" x14ac:dyDescent="0.25">
      <c r="C23" s="4" t="s">
        <v>20</v>
      </c>
      <c r="D23" s="5"/>
      <c r="E23" s="5"/>
      <c r="F23" s="5"/>
      <c r="G23" s="5"/>
      <c r="H23" s="6"/>
    </row>
    <row r="24" spans="3:8" x14ac:dyDescent="0.25">
      <c r="C24" s="10" t="s">
        <v>12</v>
      </c>
      <c r="D24" s="11">
        <v>2</v>
      </c>
      <c r="E24" s="12" t="s">
        <v>13</v>
      </c>
      <c r="F24" s="13" t="e">
        <f>-(D$4+F$20)/2</f>
        <v>#NUM!</v>
      </c>
      <c r="G24" s="16" t="e">
        <f>SQRT(-$D$21)/2</f>
        <v>#NUM!</v>
      </c>
      <c r="H24" s="17" t="s">
        <v>16</v>
      </c>
    </row>
    <row r="25" spans="3:8" x14ac:dyDescent="0.25">
      <c r="C25" s="10" t="s">
        <v>12</v>
      </c>
      <c r="D25" s="11">
        <v>3</v>
      </c>
      <c r="E25" s="12" t="s">
        <v>13</v>
      </c>
      <c r="F25" s="13" t="e">
        <f>-(D$4+F$20)/2</f>
        <v>#NUM!</v>
      </c>
      <c r="G25" s="16" t="e">
        <f>-SQRT(-$D$21)/2</f>
        <v>#NUM!</v>
      </c>
      <c r="H25" s="17" t="s">
        <v>16</v>
      </c>
    </row>
    <row r="26" spans="3:8" x14ac:dyDescent="0.25">
      <c r="C26" s="14" t="s">
        <v>18</v>
      </c>
      <c r="D26" s="5"/>
      <c r="E26" s="5"/>
      <c r="F26" s="5"/>
      <c r="G26" s="5"/>
      <c r="H26" s="6"/>
    </row>
    <row r="27" spans="3:8" x14ac:dyDescent="0.25">
      <c r="C27" s="4" t="s">
        <v>21</v>
      </c>
      <c r="D27" s="5"/>
      <c r="E27" s="5"/>
      <c r="F27" s="5"/>
      <c r="G27" s="5"/>
      <c r="H27" s="6"/>
    </row>
    <row r="28" spans="3:8" x14ac:dyDescent="0.25">
      <c r="C28" s="10" t="s">
        <v>12</v>
      </c>
      <c r="D28" s="11">
        <v>2</v>
      </c>
      <c r="E28" s="12" t="s">
        <v>13</v>
      </c>
      <c r="F28" s="13" t="e">
        <f>-(D$4+F$20)/2+SQRT(D$21)/2</f>
        <v>#NUM!</v>
      </c>
      <c r="G28" s="5"/>
      <c r="H28" s="6"/>
    </row>
    <row r="29" spans="3:8" ht="15.75" thickBot="1" x14ac:dyDescent="0.3">
      <c r="C29" s="18" t="s">
        <v>12</v>
      </c>
      <c r="D29" s="19">
        <v>3</v>
      </c>
      <c r="E29" s="20" t="s">
        <v>13</v>
      </c>
      <c r="F29" s="21" t="e">
        <f>-(D$4+F$20)/2-SQRT(D$21)/2</f>
        <v>#NUM!</v>
      </c>
      <c r="G29" s="22"/>
      <c r="H29" s="23"/>
    </row>
    <row r="30" spans="3:8" ht="15.75" thickTop="1" x14ac:dyDescent="0.25"/>
  </sheetData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6"/>
  <sheetViews>
    <sheetView tabSelected="1" view="pageBreakPreview" topLeftCell="A142" zoomScale="130" zoomScaleNormal="100" zoomScaleSheetLayoutView="130" workbookViewId="0">
      <selection activeCell="F31" sqref="F31"/>
    </sheetView>
  </sheetViews>
  <sheetFormatPr defaultRowHeight="15" x14ac:dyDescent="0.25"/>
  <cols>
    <col min="1" max="1" width="3.85546875" style="55" customWidth="1"/>
    <col min="2" max="2" width="10.7109375" customWidth="1"/>
    <col min="3" max="3" width="8.7109375" customWidth="1"/>
    <col min="4" max="4" width="10.7109375" customWidth="1"/>
    <col min="5" max="5" width="9.7109375" customWidth="1"/>
    <col min="6" max="9" width="8.7109375" customWidth="1"/>
    <col min="10" max="10" width="7.7109375" customWidth="1"/>
    <col min="11" max="11" width="8.85546875" customWidth="1"/>
    <col min="12" max="12" width="4.140625" style="55" customWidth="1"/>
    <col min="13" max="13" width="7.140625" customWidth="1"/>
    <col min="14" max="14" width="8" customWidth="1"/>
    <col min="16" max="16" width="9.85546875" customWidth="1"/>
    <col min="17" max="17" width="14.28515625" customWidth="1"/>
    <col min="18" max="18" width="13.42578125" customWidth="1"/>
    <col min="19" max="19" width="5.42578125" customWidth="1"/>
    <col min="20" max="20" width="12" bestFit="1" customWidth="1"/>
    <col min="21" max="21" width="14.7109375" customWidth="1"/>
    <col min="22" max="22" width="10.5703125" bestFit="1" customWidth="1"/>
    <col min="28" max="28" width="5.85546875" customWidth="1"/>
    <col min="29" max="29" width="7.5703125" customWidth="1"/>
    <col min="30" max="30" width="8.42578125" customWidth="1"/>
    <col min="31" max="31" width="8" customWidth="1"/>
    <col min="32" max="32" width="8.28515625" customWidth="1"/>
    <col min="33" max="33" width="9" customWidth="1"/>
    <col min="35" max="35" width="8.7109375" customWidth="1"/>
    <col min="36" max="36" width="6.85546875" customWidth="1"/>
    <col min="37" max="37" width="5.28515625" customWidth="1"/>
  </cols>
  <sheetData>
    <row r="2" spans="2:23" x14ac:dyDescent="0.25">
      <c r="B2" s="134" t="s">
        <v>172</v>
      </c>
      <c r="C2" s="55"/>
      <c r="D2" s="55"/>
      <c r="E2" s="55"/>
      <c r="F2" s="55"/>
      <c r="G2" s="55"/>
      <c r="H2" s="55"/>
      <c r="I2" s="55"/>
      <c r="J2" s="55"/>
      <c r="K2" s="55"/>
    </row>
    <row r="3" spans="2:23" x14ac:dyDescent="0.25">
      <c r="B3" s="134" t="s">
        <v>173</v>
      </c>
      <c r="C3" s="55"/>
      <c r="D3" s="55"/>
      <c r="E3" s="55"/>
      <c r="F3" s="55"/>
      <c r="G3" s="55"/>
      <c r="H3" s="55"/>
      <c r="I3" s="55"/>
      <c r="J3" s="55"/>
      <c r="K3" s="55"/>
    </row>
    <row r="4" spans="2:23" x14ac:dyDescent="0.25">
      <c r="B4" s="134" t="s">
        <v>174</v>
      </c>
      <c r="C4" s="55"/>
      <c r="D4" s="55"/>
      <c r="E4" s="55"/>
      <c r="F4" s="55"/>
      <c r="G4" s="55"/>
      <c r="H4" s="55"/>
      <c r="I4" s="55"/>
      <c r="J4" s="55"/>
      <c r="K4" s="55"/>
    </row>
    <row r="5" spans="2:23" x14ac:dyDescent="0.25">
      <c r="B5" s="134" t="s">
        <v>169</v>
      </c>
      <c r="C5" s="55"/>
      <c r="D5" s="55"/>
      <c r="E5" s="55"/>
      <c r="F5" s="55"/>
      <c r="G5" s="55"/>
      <c r="H5" s="55"/>
      <c r="I5" s="55"/>
      <c r="J5" s="55"/>
      <c r="K5" s="55"/>
      <c r="U5" s="46"/>
    </row>
    <row r="6" spans="2:23" x14ac:dyDescent="0.25">
      <c r="B6" t="s">
        <v>23</v>
      </c>
      <c r="G6" s="25">
        <v>2.9</v>
      </c>
      <c r="H6" t="s">
        <v>24</v>
      </c>
      <c r="O6" t="s">
        <v>165</v>
      </c>
      <c r="Q6" t="s">
        <v>166</v>
      </c>
      <c r="U6" s="27"/>
    </row>
    <row r="7" spans="2:23" x14ac:dyDescent="0.25">
      <c r="B7" t="s">
        <v>36</v>
      </c>
      <c r="G7">
        <v>12.5</v>
      </c>
      <c r="H7" t="s">
        <v>24</v>
      </c>
      <c r="O7">
        <f>PI()*(G8+G10/2)^2*(G6+G11+G13)</f>
        <v>392.69829630056074</v>
      </c>
      <c r="Q7" t="s">
        <v>167</v>
      </c>
      <c r="U7" s="27"/>
      <c r="W7" s="45"/>
    </row>
    <row r="8" spans="2:23" x14ac:dyDescent="0.25">
      <c r="B8" t="s">
        <v>38</v>
      </c>
      <c r="G8">
        <f>G7/2</f>
        <v>6.25</v>
      </c>
      <c r="H8" t="s">
        <v>24</v>
      </c>
      <c r="O8">
        <f>PI()*(G8-G10/2)^2*(G6-0.2)</f>
        <v>320.82179797907986</v>
      </c>
      <c r="Q8">
        <f>2*PI()*(G8+G10/2)*G6</f>
        <v>115.70485743171207</v>
      </c>
      <c r="U8" s="27"/>
      <c r="W8" s="45"/>
    </row>
    <row r="9" spans="2:23" x14ac:dyDescent="0.25">
      <c r="B9" s="58" t="s">
        <v>119</v>
      </c>
      <c r="C9" s="58"/>
      <c r="D9" s="58"/>
      <c r="E9" s="58"/>
      <c r="F9" s="58"/>
      <c r="G9" s="58">
        <v>0</v>
      </c>
      <c r="H9" s="58" t="s">
        <v>24</v>
      </c>
      <c r="I9" s="58"/>
      <c r="J9" s="58"/>
      <c r="K9" s="58"/>
      <c r="O9">
        <f>O7-O8</f>
        <v>71.876498321480881</v>
      </c>
      <c r="Q9">
        <f>2*PI()*(G8-G10/2)*4.3</f>
        <v>166.15883544836419</v>
      </c>
    </row>
    <row r="10" spans="2:23" x14ac:dyDescent="0.25">
      <c r="B10" s="58" t="s">
        <v>40</v>
      </c>
      <c r="C10" s="58"/>
      <c r="D10" s="58"/>
      <c r="E10" s="58"/>
      <c r="F10" s="58"/>
      <c r="G10" s="63">
        <v>0.2</v>
      </c>
      <c r="H10" s="58" t="s">
        <v>24</v>
      </c>
      <c r="I10" s="58"/>
      <c r="J10" s="58"/>
      <c r="K10" s="58"/>
      <c r="Q10">
        <f>Q8+Q9</f>
        <v>281.86369288007626</v>
      </c>
      <c r="W10" s="45"/>
    </row>
    <row r="11" spans="2:23" x14ac:dyDescent="0.25">
      <c r="B11" s="58" t="s">
        <v>25</v>
      </c>
      <c r="C11" s="58"/>
      <c r="D11" s="58"/>
      <c r="E11" s="58"/>
      <c r="F11" s="58"/>
      <c r="G11" s="58">
        <v>0</v>
      </c>
      <c r="H11" s="58" t="s">
        <v>24</v>
      </c>
      <c r="I11" s="58"/>
      <c r="J11" s="58"/>
      <c r="K11" s="58"/>
    </row>
    <row r="12" spans="2:23" x14ac:dyDescent="0.25">
      <c r="B12" s="58" t="s">
        <v>153</v>
      </c>
      <c r="C12" s="58"/>
      <c r="D12" s="58"/>
      <c r="E12" s="58"/>
      <c r="F12" s="58"/>
      <c r="G12" s="63">
        <v>0.2</v>
      </c>
      <c r="H12" s="58" t="s">
        <v>24</v>
      </c>
      <c r="I12" s="58"/>
      <c r="J12" s="58"/>
      <c r="K12" s="58"/>
      <c r="Q12">
        <f>PI()*(G8-G10/2)^2</f>
        <v>118.82288814039997</v>
      </c>
    </row>
    <row r="13" spans="2:23" x14ac:dyDescent="0.25">
      <c r="B13" s="58" t="s">
        <v>154</v>
      </c>
      <c r="C13" s="58"/>
      <c r="D13" s="58"/>
      <c r="E13" s="58"/>
      <c r="F13" s="58"/>
      <c r="G13" s="63">
        <v>0.2</v>
      </c>
      <c r="H13" s="58" t="s">
        <v>24</v>
      </c>
      <c r="I13" s="58"/>
      <c r="J13" s="58"/>
      <c r="K13" s="58"/>
    </row>
    <row r="14" spans="2:23" x14ac:dyDescent="0.25">
      <c r="B14" s="58" t="s">
        <v>162</v>
      </c>
      <c r="C14" s="58"/>
      <c r="D14" s="58"/>
      <c r="E14" s="58"/>
      <c r="F14" s="58"/>
      <c r="G14" s="63">
        <v>0</v>
      </c>
      <c r="H14" s="58" t="s">
        <v>24</v>
      </c>
      <c r="I14" s="58"/>
      <c r="J14" s="58"/>
      <c r="K14" s="58"/>
    </row>
    <row r="15" spans="2:23" x14ac:dyDescent="0.25">
      <c r="B15" s="58" t="s">
        <v>34</v>
      </c>
      <c r="C15" s="58"/>
      <c r="D15" s="58"/>
      <c r="E15" s="58"/>
      <c r="F15" s="58"/>
      <c r="G15" s="58">
        <v>40</v>
      </c>
      <c r="H15" s="58" t="s">
        <v>26</v>
      </c>
      <c r="I15" s="58"/>
      <c r="J15" s="58"/>
      <c r="K15" s="58"/>
    </row>
    <row r="16" spans="2:23" x14ac:dyDescent="0.25">
      <c r="B16" s="58" t="s">
        <v>27</v>
      </c>
      <c r="C16" s="58"/>
      <c r="D16" s="58"/>
      <c r="E16" s="58"/>
      <c r="F16" s="58"/>
      <c r="G16" s="137">
        <f>ROUND(1000*0.9*6600*SQRT(G15+3.5),0)</f>
        <v>39176991</v>
      </c>
      <c r="H16" s="58" t="s">
        <v>32</v>
      </c>
      <c r="I16" s="58"/>
      <c r="J16" s="58"/>
      <c r="K16" s="58"/>
    </row>
    <row r="17" spans="2:24" x14ac:dyDescent="0.25">
      <c r="B17" s="58" t="s">
        <v>28</v>
      </c>
      <c r="C17" s="58"/>
      <c r="D17" s="58"/>
      <c r="E17" s="58"/>
      <c r="F17" s="58"/>
      <c r="G17" s="63">
        <v>25</v>
      </c>
      <c r="H17" s="58" t="s">
        <v>29</v>
      </c>
      <c r="I17" s="58"/>
      <c r="J17" s="58"/>
      <c r="K17" s="58"/>
    </row>
    <row r="18" spans="2:24" x14ac:dyDescent="0.25">
      <c r="B18" s="58" t="s">
        <v>30</v>
      </c>
      <c r="C18" s="58"/>
      <c r="D18" s="58"/>
      <c r="E18" s="58"/>
      <c r="F18" s="58"/>
      <c r="G18" s="63">
        <v>10</v>
      </c>
      <c r="H18" s="58" t="s">
        <v>29</v>
      </c>
      <c r="I18" s="58"/>
      <c r="J18" s="58"/>
      <c r="K18" s="58"/>
    </row>
    <row r="19" spans="2:24" x14ac:dyDescent="0.25">
      <c r="B19" s="58" t="s">
        <v>161</v>
      </c>
      <c r="C19" s="58"/>
      <c r="D19" s="58"/>
      <c r="E19" s="58"/>
      <c r="F19" s="58"/>
      <c r="G19" s="63">
        <v>16</v>
      </c>
      <c r="H19" s="58" t="s">
        <v>29</v>
      </c>
      <c r="I19" s="58"/>
      <c r="J19" s="58"/>
      <c r="K19" s="58"/>
    </row>
    <row r="20" spans="2:24" x14ac:dyDescent="0.25">
      <c r="B20" s="58" t="s">
        <v>150</v>
      </c>
      <c r="C20" s="58"/>
      <c r="D20" s="58"/>
      <c r="E20" s="58"/>
      <c r="F20" s="58"/>
      <c r="G20" s="63">
        <f>G11*G17</f>
        <v>0</v>
      </c>
      <c r="H20" s="58" t="s">
        <v>29</v>
      </c>
      <c r="I20" s="58"/>
      <c r="J20" s="58"/>
      <c r="K20" s="58"/>
    </row>
    <row r="21" spans="2:24" x14ac:dyDescent="0.25">
      <c r="B21" s="58" t="s">
        <v>120</v>
      </c>
      <c r="C21" s="58"/>
      <c r="D21" s="58"/>
      <c r="E21" s="58"/>
      <c r="F21" s="58"/>
      <c r="G21" s="63">
        <v>0</v>
      </c>
      <c r="H21" s="58" t="s">
        <v>32</v>
      </c>
      <c r="I21" s="58"/>
      <c r="J21" s="58"/>
      <c r="K21" s="58"/>
      <c r="V21" s="41"/>
    </row>
    <row r="22" spans="2:24" x14ac:dyDescent="0.25">
      <c r="B22" s="58" t="s">
        <v>159</v>
      </c>
      <c r="C22" s="58"/>
      <c r="D22" s="58"/>
      <c r="E22" s="58"/>
      <c r="F22" s="58"/>
      <c r="G22" s="63">
        <v>0</v>
      </c>
      <c r="H22" s="58" t="s">
        <v>32</v>
      </c>
      <c r="I22" s="58"/>
      <c r="J22" s="58"/>
      <c r="K22" s="58"/>
      <c r="V22" s="41"/>
    </row>
    <row r="23" spans="2:24" x14ac:dyDescent="0.25">
      <c r="B23" s="58" t="s">
        <v>160</v>
      </c>
      <c r="C23" s="58"/>
      <c r="D23" s="58"/>
      <c r="E23" s="58"/>
      <c r="F23" s="58"/>
      <c r="G23" s="63">
        <f>G14*G19</f>
        <v>0</v>
      </c>
      <c r="H23" s="58" t="s">
        <v>32</v>
      </c>
      <c r="I23" s="58"/>
      <c r="J23" s="58"/>
      <c r="K23" s="58"/>
      <c r="L23" s="135"/>
      <c r="V23" s="41"/>
    </row>
    <row r="24" spans="2:24" x14ac:dyDescent="0.25">
      <c r="B24" t="s">
        <v>31</v>
      </c>
      <c r="G24" s="25">
        <v>0.2</v>
      </c>
      <c r="H24" t="s">
        <v>32</v>
      </c>
      <c r="V24" s="41"/>
    </row>
    <row r="25" spans="2:24" x14ac:dyDescent="0.25">
      <c r="B25" t="s">
        <v>79</v>
      </c>
      <c r="G25" s="25">
        <v>500</v>
      </c>
      <c r="H25" t="s">
        <v>26</v>
      </c>
    </row>
    <row r="26" spans="2:24" x14ac:dyDescent="0.25">
      <c r="B26" t="s">
        <v>33</v>
      </c>
      <c r="G26" s="168">
        <f>2.1*100000000</f>
        <v>210000000</v>
      </c>
      <c r="H26" t="s">
        <v>32</v>
      </c>
    </row>
    <row r="27" spans="2:24" x14ac:dyDescent="0.25">
      <c r="B27" t="s">
        <v>45</v>
      </c>
      <c r="G27">
        <f>G6*G18</f>
        <v>29</v>
      </c>
      <c r="H27" t="s">
        <v>32</v>
      </c>
    </row>
    <row r="29" spans="2:24" x14ac:dyDescent="0.25">
      <c r="B29" s="24" t="s">
        <v>35</v>
      </c>
      <c r="V29" s="25"/>
    </row>
    <row r="30" spans="2:24" x14ac:dyDescent="0.25">
      <c r="B30" t="s">
        <v>39</v>
      </c>
      <c r="D30" s="26" t="s">
        <v>163</v>
      </c>
      <c r="E30" s="130">
        <f>G10/G8</f>
        <v>3.2000000000000001E-2</v>
      </c>
      <c r="F30" s="131" t="str">
        <f>IF(G10/G8&lt;0.05,"A CASCA É ESBELTA, VALE O MODÊLO MATEMÁTICO","NÃO VALE O MODELO MATEMÁTICO")</f>
        <v>A CASCA É ESBELTA, VALE O MODÊLO MATEMÁTICO</v>
      </c>
      <c r="G30" s="132"/>
      <c r="H30" s="131"/>
      <c r="I30" s="55"/>
      <c r="J30" s="55"/>
      <c r="V30" s="25"/>
    </row>
    <row r="31" spans="2:24" x14ac:dyDescent="0.25">
      <c r="V31" s="25"/>
      <c r="X31" s="25"/>
    </row>
    <row r="32" spans="2:24" x14ac:dyDescent="0.25">
      <c r="B32" s="24" t="s">
        <v>37</v>
      </c>
      <c r="V32" s="25"/>
    </row>
    <row r="33" spans="2:22" x14ac:dyDescent="0.25">
      <c r="B33" t="s">
        <v>47</v>
      </c>
      <c r="C33" s="25">
        <f>(3*(1-G24^2))^0.25/SQRT(G8*G10)</f>
        <v>1.1651802520975763</v>
      </c>
      <c r="F33" s="45"/>
      <c r="V33" s="25"/>
    </row>
    <row r="34" spans="2:22" x14ac:dyDescent="0.25">
      <c r="B34" t="s">
        <v>48</v>
      </c>
      <c r="C34" s="25">
        <f>G16*G10^3/12/(1-G24^2)</f>
        <v>27206.243750000009</v>
      </c>
      <c r="V34" s="25"/>
    </row>
    <row r="35" spans="2:22" ht="18.75" x14ac:dyDescent="0.35">
      <c r="B35" t="s">
        <v>42</v>
      </c>
      <c r="C35" s="25">
        <f>G8*(1-G24)/G12</f>
        <v>25</v>
      </c>
      <c r="D35" t="s">
        <v>41</v>
      </c>
      <c r="V35" s="25"/>
    </row>
    <row r="36" spans="2:22" ht="18.75" x14ac:dyDescent="0.35">
      <c r="B36" t="s">
        <v>43</v>
      </c>
      <c r="C36" s="25">
        <f>4*(1-G24^2)/G12^3*SQRT(1/G27)</f>
        <v>89.133762324984872</v>
      </c>
      <c r="D36" t="s">
        <v>44</v>
      </c>
      <c r="V36" s="40"/>
    </row>
    <row r="37" spans="2:22" ht="18" x14ac:dyDescent="0.35">
      <c r="B37" t="s">
        <v>46</v>
      </c>
      <c r="C37" s="25">
        <f>-0.5/C33^2/C34*G16</f>
        <v>-530.33008588991049</v>
      </c>
      <c r="D37" t="s">
        <v>41</v>
      </c>
      <c r="V37" s="40"/>
    </row>
    <row r="38" spans="2:22" ht="18" x14ac:dyDescent="0.35">
      <c r="B38" t="s">
        <v>49</v>
      </c>
      <c r="C38" s="25">
        <f>1/C33/C34*G16</f>
        <v>1235.8602863442702</v>
      </c>
      <c r="D38" t="s">
        <v>41</v>
      </c>
      <c r="V38" s="25"/>
    </row>
    <row r="39" spans="2:22" ht="18" x14ac:dyDescent="0.35">
      <c r="B39" t="s">
        <v>50</v>
      </c>
      <c r="C39" s="25">
        <f>1/2/C33^3/C34*G16</f>
        <v>455.14853597561552</v>
      </c>
      <c r="D39" t="s">
        <v>41</v>
      </c>
    </row>
    <row r="40" spans="2:22" ht="18" x14ac:dyDescent="0.35">
      <c r="B40" t="s">
        <v>51</v>
      </c>
      <c r="C40" s="25">
        <f>-G18*G8^2/G10*G6</f>
        <v>-5664.0625</v>
      </c>
      <c r="D40" t="s">
        <v>41</v>
      </c>
    </row>
    <row r="41" spans="2:22" ht="18" x14ac:dyDescent="0.35">
      <c r="B41" t="s">
        <v>52</v>
      </c>
      <c r="C41" s="25">
        <f>G18*G8^2/G10</f>
        <v>1953.125</v>
      </c>
      <c r="D41" t="s">
        <v>41</v>
      </c>
      <c r="U41" s="24"/>
    </row>
    <row r="42" spans="2:22" ht="18" x14ac:dyDescent="0.35">
      <c r="B42" s="44" t="s">
        <v>67</v>
      </c>
      <c r="C42" s="25">
        <f>C60^2</f>
        <v>5.0587793560507377</v>
      </c>
      <c r="D42" t="s">
        <v>63</v>
      </c>
      <c r="F42" s="26"/>
      <c r="G42" s="25"/>
    </row>
    <row r="43" spans="2:22" ht="18" x14ac:dyDescent="0.35">
      <c r="B43" s="44" t="s">
        <v>78</v>
      </c>
      <c r="C43" s="25">
        <f>C49+E49*C42</f>
        <v>17.383965096201798</v>
      </c>
      <c r="D43" t="s">
        <v>64</v>
      </c>
      <c r="F43" s="26"/>
      <c r="G43" s="25"/>
    </row>
    <row r="44" spans="2:22" x14ac:dyDescent="0.25">
      <c r="B44" s="44"/>
      <c r="C44" s="25"/>
      <c r="F44" s="26"/>
      <c r="G44" s="25"/>
    </row>
    <row r="45" spans="2:22" x14ac:dyDescent="0.25">
      <c r="B45" s="24" t="s">
        <v>145</v>
      </c>
      <c r="C45" s="25"/>
      <c r="F45" s="26"/>
      <c r="G45" s="25"/>
    </row>
    <row r="46" spans="2:22" ht="15.75" thickBot="1" x14ac:dyDescent="0.3">
      <c r="B46" s="24"/>
      <c r="C46" s="25"/>
      <c r="F46" s="26"/>
      <c r="G46" s="25"/>
    </row>
    <row r="47" spans="2:22" ht="15.75" thickTop="1" x14ac:dyDescent="0.25">
      <c r="B47" s="82">
        <f>C40</f>
        <v>-5664.0625</v>
      </c>
      <c r="C47" s="83" t="s">
        <v>54</v>
      </c>
      <c r="D47" s="84">
        <f>C35+C39</f>
        <v>480.14853597561552</v>
      </c>
      <c r="E47" s="83" t="s">
        <v>53</v>
      </c>
      <c r="F47" s="83" t="s">
        <v>54</v>
      </c>
      <c r="G47" s="85">
        <f>C37</f>
        <v>-530.33008588991049</v>
      </c>
      <c r="H47" s="83" t="s">
        <v>55</v>
      </c>
      <c r="I47" s="86" t="s">
        <v>57</v>
      </c>
      <c r="J47" s="87"/>
      <c r="K47" s="88"/>
    </row>
    <row r="48" spans="2:22" ht="17.25" x14ac:dyDescent="0.25">
      <c r="B48" s="89">
        <f>C41</f>
        <v>1953.125</v>
      </c>
      <c r="C48" s="90" t="s">
        <v>54</v>
      </c>
      <c r="D48" s="91">
        <f>C37</f>
        <v>-530.33008588991049</v>
      </c>
      <c r="E48" s="90" t="s">
        <v>53</v>
      </c>
      <c r="F48" s="90" t="s">
        <v>54</v>
      </c>
      <c r="G48" s="92">
        <f>C38</f>
        <v>1235.8602863442702</v>
      </c>
      <c r="H48" s="90" t="s">
        <v>55</v>
      </c>
      <c r="I48" s="93" t="s">
        <v>54</v>
      </c>
      <c r="J48" s="92">
        <f>C36</f>
        <v>89.133762324984872</v>
      </c>
      <c r="K48" s="94" t="s">
        <v>144</v>
      </c>
    </row>
    <row r="49" spans="2:11" x14ac:dyDescent="0.25">
      <c r="B49" s="95" t="s">
        <v>58</v>
      </c>
      <c r="C49" s="92">
        <f>-B47/D47</f>
        <v>11.796479788262129</v>
      </c>
      <c r="D49" s="96" t="s">
        <v>54</v>
      </c>
      <c r="E49" s="92">
        <f>-G47/D47</f>
        <v>1.1045125542501779</v>
      </c>
      <c r="F49" s="90" t="s">
        <v>55</v>
      </c>
      <c r="G49" s="93"/>
      <c r="H49" s="93"/>
      <c r="I49" s="93"/>
      <c r="J49" s="93"/>
      <c r="K49" s="97"/>
    </row>
    <row r="50" spans="2:11" ht="18" thickBot="1" x14ac:dyDescent="0.3">
      <c r="B50" s="98">
        <f>B48+D48*C49</f>
        <v>-4302.9031393076484</v>
      </c>
      <c r="C50" s="99" t="s">
        <v>54</v>
      </c>
      <c r="D50" s="100">
        <f>G48+D48*E49</f>
        <v>650.1040485822889</v>
      </c>
      <c r="E50" s="101" t="s">
        <v>59</v>
      </c>
      <c r="F50" s="102">
        <f>J48</f>
        <v>89.133762324984872</v>
      </c>
      <c r="G50" s="101" t="s">
        <v>56</v>
      </c>
      <c r="H50" s="103" t="s">
        <v>57</v>
      </c>
      <c r="I50" s="99" t="s">
        <v>60</v>
      </c>
      <c r="J50" s="99" t="s">
        <v>61</v>
      </c>
      <c r="K50" s="104"/>
    </row>
    <row r="51" spans="2:11" ht="15.75" thickTop="1" x14ac:dyDescent="0.25">
      <c r="B51" s="69"/>
      <c r="C51" s="70"/>
      <c r="D51" s="58"/>
      <c r="E51" s="62"/>
      <c r="F51" s="62"/>
      <c r="G51" s="62"/>
      <c r="H51" s="62"/>
      <c r="I51" s="62"/>
      <c r="J51" s="62"/>
      <c r="K51" s="62"/>
    </row>
    <row r="52" spans="2:11" x14ac:dyDescent="0.25">
      <c r="B52" s="134" t="s">
        <v>172</v>
      </c>
      <c r="C52" s="55"/>
      <c r="D52" s="55"/>
      <c r="E52" s="55"/>
      <c r="F52" s="55"/>
      <c r="G52" s="55"/>
      <c r="H52" s="55"/>
      <c r="I52" s="55"/>
      <c r="J52" s="55"/>
      <c r="K52" s="55"/>
    </row>
    <row r="53" spans="2:11" x14ac:dyDescent="0.25">
      <c r="B53" s="134" t="s">
        <v>173</v>
      </c>
      <c r="C53" s="55"/>
      <c r="D53" s="55"/>
      <c r="E53" s="55"/>
      <c r="F53" s="55"/>
      <c r="G53" s="55"/>
      <c r="H53" s="55"/>
      <c r="I53" s="55"/>
      <c r="J53" s="55"/>
      <c r="K53" s="55"/>
    </row>
    <row r="54" spans="2:11" x14ac:dyDescent="0.25">
      <c r="B54" s="134" t="s">
        <v>174</v>
      </c>
      <c r="C54" s="55"/>
      <c r="D54" s="55"/>
      <c r="E54" s="55"/>
      <c r="F54" s="55"/>
      <c r="G54" s="55"/>
      <c r="H54" s="55"/>
      <c r="I54" s="55"/>
      <c r="J54" s="55"/>
      <c r="K54" s="55"/>
    </row>
    <row r="55" spans="2:11" x14ac:dyDescent="0.25">
      <c r="B55" s="134" t="s">
        <v>169</v>
      </c>
      <c r="C55" s="55"/>
      <c r="D55" s="55"/>
      <c r="E55" s="55"/>
      <c r="F55" s="55"/>
      <c r="G55" s="55"/>
      <c r="H55" s="55"/>
      <c r="I55" s="55"/>
      <c r="J55" s="55"/>
      <c r="K55" s="55"/>
    </row>
    <row r="56" spans="2:11" x14ac:dyDescent="0.25">
      <c r="B56" s="69"/>
      <c r="C56" s="70"/>
      <c r="D56" s="58"/>
      <c r="E56" s="62"/>
      <c r="F56" s="62"/>
      <c r="G56" s="62"/>
      <c r="H56" s="62"/>
      <c r="I56" s="62"/>
      <c r="J56" s="62"/>
      <c r="K56" s="62"/>
    </row>
    <row r="57" spans="2:11" ht="15.75" thickBot="1" x14ac:dyDescent="0.3">
      <c r="B57" s="81" t="s">
        <v>147</v>
      </c>
      <c r="C57" s="78"/>
      <c r="D57" s="77"/>
      <c r="E57" s="79"/>
      <c r="F57" s="70"/>
      <c r="G57" s="79"/>
      <c r="H57" s="80"/>
      <c r="I57" s="78"/>
      <c r="J57" s="78"/>
      <c r="K57" s="78"/>
    </row>
    <row r="58" spans="2:11" ht="18.75" thickTop="1" thickBot="1" x14ac:dyDescent="0.3">
      <c r="B58" s="71">
        <f>F50</f>
        <v>89.133762324984872</v>
      </c>
      <c r="C58" s="72" t="s">
        <v>65</v>
      </c>
      <c r="D58" s="73" t="s">
        <v>54</v>
      </c>
      <c r="E58" s="74">
        <f>D50</f>
        <v>650.1040485822889</v>
      </c>
      <c r="F58" s="72" t="s">
        <v>66</v>
      </c>
      <c r="G58" s="73" t="s">
        <v>54</v>
      </c>
      <c r="H58" s="74">
        <f>B50</f>
        <v>-4302.9031393076484</v>
      </c>
      <c r="I58" s="75" t="s">
        <v>57</v>
      </c>
      <c r="J58" s="73"/>
      <c r="K58" s="76"/>
    </row>
    <row r="59" spans="2:11" ht="16.5" thickTop="1" thickBot="1" x14ac:dyDescent="0.3">
      <c r="B59" s="81" t="s">
        <v>149</v>
      </c>
      <c r="C59" s="79"/>
      <c r="D59" s="78"/>
      <c r="E59" s="70"/>
      <c r="F59" s="79"/>
      <c r="G59" s="78"/>
      <c r="H59" s="70"/>
      <c r="I59" s="80"/>
      <c r="J59" s="78"/>
      <c r="K59" s="78"/>
    </row>
    <row r="60" spans="2:11" ht="16.5" thickTop="1" thickBot="1" x14ac:dyDescent="0.3">
      <c r="B60" s="60" t="s">
        <v>62</v>
      </c>
      <c r="C60" s="61">
        <f>'EQ 3 GRAU'!F15</f>
        <v>2.2491730382633386</v>
      </c>
      <c r="D60" s="58"/>
      <c r="E60" s="62"/>
      <c r="F60" s="62"/>
      <c r="G60" s="62"/>
      <c r="H60" s="62"/>
      <c r="I60" s="62"/>
      <c r="J60" s="62"/>
      <c r="K60" s="62"/>
    </row>
    <row r="61" spans="2:11" ht="16.5" thickTop="1" thickBot="1" x14ac:dyDescent="0.3">
      <c r="B61" s="69"/>
      <c r="C61" s="70"/>
      <c r="D61" s="58"/>
      <c r="E61" s="62"/>
      <c r="F61" s="62"/>
      <c r="G61" s="62"/>
      <c r="H61" s="62"/>
      <c r="I61" s="62"/>
      <c r="J61" s="62"/>
      <c r="K61" s="62"/>
    </row>
    <row r="62" spans="2:11" ht="16.5" thickTop="1" thickBot="1" x14ac:dyDescent="0.3">
      <c r="B62" s="139" t="s">
        <v>146</v>
      </c>
      <c r="C62" s="140"/>
      <c r="D62" s="140"/>
      <c r="E62" s="140"/>
      <c r="F62" s="140"/>
      <c r="G62" s="140"/>
      <c r="H62" s="141"/>
    </row>
    <row r="63" spans="2:11" ht="15.75" thickTop="1" x14ac:dyDescent="0.25">
      <c r="B63" s="65" t="s">
        <v>77</v>
      </c>
      <c r="C63" s="52" t="s">
        <v>68</v>
      </c>
      <c r="D63" s="52" t="s">
        <v>69</v>
      </c>
      <c r="E63" s="52" t="s">
        <v>70</v>
      </c>
      <c r="F63" s="52" t="s">
        <v>71</v>
      </c>
      <c r="G63" s="52" t="s">
        <v>72</v>
      </c>
      <c r="H63" s="66" t="s">
        <v>73</v>
      </c>
    </row>
    <row r="64" spans="2:11" ht="15.75" thickBot="1" x14ac:dyDescent="0.3">
      <c r="B64" s="67" t="s">
        <v>74</v>
      </c>
      <c r="C64" s="53" t="s">
        <v>74</v>
      </c>
      <c r="D64" s="53" t="s">
        <v>75</v>
      </c>
      <c r="E64" s="53" t="s">
        <v>75</v>
      </c>
      <c r="F64" s="53" t="s">
        <v>76</v>
      </c>
      <c r="G64" s="53" t="s">
        <v>76</v>
      </c>
      <c r="H64" s="68" t="s">
        <v>75</v>
      </c>
    </row>
    <row r="65" spans="2:16" ht="15.75" thickTop="1" x14ac:dyDescent="0.25">
      <c r="B65" s="28">
        <v>0</v>
      </c>
      <c r="C65" s="29">
        <f>-G$18*(G$6-B65)*G$8^2/G$16/G$10-EXP(-C$33*B65)/2/C$33^3/C$34*(C$33*C$42*(COS(C$33*B65)-SIN(C$33*B65))-C$43*COS(C$33*B65))</f>
        <v>-1.1093223759962677E-5</v>
      </c>
      <c r="D65" s="30">
        <f t="shared" ref="D65:D73" si="0">-G$17*G$10*(G$6-B65)</f>
        <v>-14.5</v>
      </c>
      <c r="E65" s="50">
        <f t="shared" ref="E65:E73" si="1">-G$16*G$10/G$8*C65</f>
        <v>13.907172076961407</v>
      </c>
      <c r="F65" s="30">
        <f>EXP(-C$33*B65)/C$33*(C$33*C$42*(COS(C$33*B65)+SIN(C$33*B65))-C$43*SIN(C$33*B65))</f>
        <v>5.0587793560507386</v>
      </c>
      <c r="G65" s="30">
        <f t="shared" ref="G65:G71" si="2">F65*G$24</f>
        <v>1.0117558712101478</v>
      </c>
      <c r="H65" s="31">
        <f t="shared" ref="H65:H73" si="3">-EXP(-C$33*B65)*(2*C$33*C$42*SIN(C$33*B65)+C$43*(COS(C$33*B65)-SIN(C$33*B65)))</f>
        <v>-17.383965096201798</v>
      </c>
      <c r="P65" s="27"/>
    </row>
    <row r="66" spans="2:16" x14ac:dyDescent="0.25">
      <c r="B66" s="32">
        <v>0.5</v>
      </c>
      <c r="C66" s="33">
        <f t="shared" ref="C66:C73" si="4">-G$18*(G$6-B66)*G$8^2/G$16/G$10-EXP(-C$33*B66)/2/C$33^3/C$34*(C$33*C$42*(COS(C$33*B66)-SIN(C$33*B66))-C$43*COS(C$33*B66))</f>
        <v>-3.6361853696208817E-5</v>
      </c>
      <c r="D66" s="34">
        <f t="shared" si="0"/>
        <v>-12</v>
      </c>
      <c r="E66" s="51">
        <f t="shared" si="1"/>
        <v>45.585536479990068</v>
      </c>
      <c r="F66" s="34">
        <f>EXP(-C$33*B66)/C$33*(C$33*C$42*(COS(C$33*B66)+SIN(C$33*B66))-C$43*SIN(C$33*B66))</f>
        <v>-0.67069788377815953</v>
      </c>
      <c r="G66" s="34">
        <f t="shared" si="2"/>
        <v>-0.1341395767556319</v>
      </c>
      <c r="H66" s="35">
        <f t="shared" si="3"/>
        <v>-6.3874987809382144</v>
      </c>
      <c r="P66" s="27"/>
    </row>
    <row r="67" spans="2:16" x14ac:dyDescent="0.25">
      <c r="B67" s="32">
        <v>1</v>
      </c>
      <c r="C67" s="33">
        <f t="shared" si="4"/>
        <v>-5.8672644972787048E-5</v>
      </c>
      <c r="D67" s="34">
        <f t="shared" si="0"/>
        <v>-9.5</v>
      </c>
      <c r="E67" s="51">
        <f t="shared" si="1"/>
        <v>73.555765889442355</v>
      </c>
      <c r="F67" s="34">
        <f>EXP(-C$33*B67)/C$33*(C$33*C$42*(COS(C$33*B67)+SIN(C$33*B67))-C$43*SIN(C$33*B67))</f>
        <v>-2.2031943797315239</v>
      </c>
      <c r="G67" s="34">
        <f t="shared" si="2"/>
        <v>-0.4406388759463048</v>
      </c>
      <c r="H67" s="35">
        <f t="shared" si="3"/>
        <v>-0.53586803437022612</v>
      </c>
      <c r="P67" s="27"/>
    </row>
    <row r="68" spans="2:16" x14ac:dyDescent="0.25">
      <c r="B68" s="32">
        <v>1.5</v>
      </c>
      <c r="C68" s="33">
        <f t="shared" si="4"/>
        <v>-6.2147976644969134E-5</v>
      </c>
      <c r="D68" s="34">
        <f t="shared" si="0"/>
        <v>-7</v>
      </c>
      <c r="E68" s="51">
        <f t="shared" si="1"/>
        <v>77.912663094021312</v>
      </c>
      <c r="F68" s="34">
        <f>EXP(-C$33*B68)/C$33*(C$33*C$42*(COS(C$33*B68)+SIN(C$33*B68))-C$43*SIN(C$33*B68))</f>
        <v>-1.8456557847128434</v>
      </c>
      <c r="G68" s="34">
        <f t="shared" si="2"/>
        <v>-0.36913115694256871</v>
      </c>
      <c r="H68" s="35">
        <f t="shared" si="3"/>
        <v>1.4922656206336264</v>
      </c>
      <c r="P68" s="27"/>
    </row>
    <row r="69" spans="2:16" x14ac:dyDescent="0.25">
      <c r="B69" s="32">
        <v>2</v>
      </c>
      <c r="C69" s="33">
        <f t="shared" si="4"/>
        <v>-4.8978741784171913E-5</v>
      </c>
      <c r="D69" s="34">
        <f t="shared" si="0"/>
        <v>-4.5</v>
      </c>
      <c r="E69" s="51">
        <f t="shared" si="1"/>
        <v>61.402871234234468</v>
      </c>
      <c r="F69" s="34">
        <f t="shared" ref="F69:F73" si="5">EXP(-C$33*B69)/C$33*(C$33*C$42*(COS(C$33*B69)+SIN(C$33*B69))-C$43*SIN(C$33*B69))</f>
        <v>-1.0342607968401716</v>
      </c>
      <c r="G69" s="34">
        <f t="shared" si="2"/>
        <v>-0.20685215936803433</v>
      </c>
      <c r="H69" s="35">
        <f t="shared" si="3"/>
        <v>1.5588907514988803</v>
      </c>
      <c r="P69" s="27"/>
    </row>
    <row r="70" spans="2:16" x14ac:dyDescent="0.25">
      <c r="B70" s="32">
        <v>2.5</v>
      </c>
      <c r="C70" s="33">
        <f t="shared" si="4"/>
        <v>-2.615998859828815E-5</v>
      </c>
      <c r="D70" s="34">
        <f t="shared" si="0"/>
        <v>-1.9999999999999996</v>
      </c>
      <c r="E70" s="51">
        <f t="shared" si="1"/>
        <v>32.795828412007602</v>
      </c>
      <c r="F70" s="133">
        <f t="shared" si="5"/>
        <v>-0.38901213385507716</v>
      </c>
      <c r="G70" s="34">
        <f t="shared" si="2"/>
        <v>-7.780242677101544E-2</v>
      </c>
      <c r="H70" s="35">
        <f t="shared" si="3"/>
        <v>0.98852229694730376</v>
      </c>
      <c r="P70" s="27"/>
    </row>
    <row r="71" spans="2:16" x14ac:dyDescent="0.25">
      <c r="B71" s="32">
        <v>3</v>
      </c>
      <c r="C71" s="33">
        <f t="shared" si="4"/>
        <v>4.6757052774868385E-7</v>
      </c>
      <c r="D71" s="34">
        <f t="shared" si="0"/>
        <v>0.50000000000000044</v>
      </c>
      <c r="E71" s="51">
        <f t="shared" si="1"/>
        <v>-0.58617620343921406</v>
      </c>
      <c r="F71" s="34">
        <f t="shared" si="5"/>
        <v>-4.0263528627405946E-2</v>
      </c>
      <c r="G71" s="34">
        <f t="shared" si="2"/>
        <v>-8.0527057254811893E-3</v>
      </c>
      <c r="H71" s="35">
        <f t="shared" si="3"/>
        <v>0.43578620727092543</v>
      </c>
      <c r="P71" s="27"/>
    </row>
    <row r="72" spans="2:16" x14ac:dyDescent="0.25">
      <c r="B72" s="32">
        <v>3.5</v>
      </c>
      <c r="C72" s="33">
        <f t="shared" si="4"/>
        <v>2.7638076992165585E-5</v>
      </c>
      <c r="D72" s="34">
        <f t="shared" si="0"/>
        <v>3.0000000000000004</v>
      </c>
      <c r="E72" s="51">
        <f t="shared" si="1"/>
        <v>-34.648854194540107</v>
      </c>
      <c r="F72" s="34">
        <f t="shared" si="5"/>
        <v>8.3767781440807404E-2</v>
      </c>
      <c r="G72" s="34">
        <f>F72*G$24</f>
        <v>1.675355628816148E-2</v>
      </c>
      <c r="H72" s="35">
        <f t="shared" si="3"/>
        <v>9.8151983722308558E-2</v>
      </c>
      <c r="P72" s="27"/>
    </row>
    <row r="73" spans="2:16" ht="15.75" thickBot="1" x14ac:dyDescent="0.3">
      <c r="B73" s="36">
        <v>4</v>
      </c>
      <c r="C73" s="37">
        <f t="shared" si="4"/>
        <v>5.4127128158358571E-5</v>
      </c>
      <c r="D73" s="38">
        <f t="shared" si="0"/>
        <v>5.5</v>
      </c>
      <c r="E73" s="54">
        <f t="shared" si="1"/>
        <v>-67.85721640690754</v>
      </c>
      <c r="F73" s="38">
        <f t="shared" si="5"/>
        <v>9.0683424058092127E-2</v>
      </c>
      <c r="G73" s="38">
        <f>F73*G$24</f>
        <v>1.8136684811618425E-2</v>
      </c>
      <c r="H73" s="39">
        <f t="shared" si="3"/>
        <v>-4.4364991182705663E-2</v>
      </c>
      <c r="J73" s="27"/>
      <c r="P73" s="27"/>
    </row>
    <row r="75" spans="2:16" x14ac:dyDescent="0.25">
      <c r="B75" s="24" t="s">
        <v>84</v>
      </c>
    </row>
    <row r="76" spans="2:16" x14ac:dyDescent="0.25">
      <c r="B76" t="s">
        <v>80</v>
      </c>
      <c r="E76">
        <f>0.15*100*G10</f>
        <v>3</v>
      </c>
      <c r="F76" t="s">
        <v>81</v>
      </c>
      <c r="G76" s="25">
        <f>E76/2</f>
        <v>1.5</v>
      </c>
      <c r="H76" t="s">
        <v>82</v>
      </c>
    </row>
    <row r="77" spans="2:16" x14ac:dyDescent="0.25">
      <c r="B77" s="55" t="s">
        <v>148</v>
      </c>
      <c r="C77" s="55"/>
      <c r="D77" s="55"/>
      <c r="E77" s="56">
        <v>6.3</v>
      </c>
      <c r="F77" s="55" t="s">
        <v>116</v>
      </c>
      <c r="G77" s="56">
        <f>PI()*(E77/10)^2/4*100/G76</f>
        <v>20.781635403496484</v>
      </c>
      <c r="H77" s="55" t="s">
        <v>117</v>
      </c>
    </row>
    <row r="79" spans="2:16" x14ac:dyDescent="0.25">
      <c r="B79" s="146" t="s">
        <v>85</v>
      </c>
      <c r="C79" s="146"/>
      <c r="D79" s="146"/>
      <c r="E79" s="146"/>
      <c r="F79" s="146"/>
    </row>
    <row r="80" spans="2:16" x14ac:dyDescent="0.25">
      <c r="B80" s="122" t="s">
        <v>83</v>
      </c>
      <c r="C80" s="123" t="s">
        <v>155</v>
      </c>
      <c r="D80" s="123" t="s">
        <v>156</v>
      </c>
      <c r="E80" s="123" t="s">
        <v>157</v>
      </c>
      <c r="F80" s="129" t="s">
        <v>158</v>
      </c>
    </row>
    <row r="81" spans="2:8" x14ac:dyDescent="0.25">
      <c r="B81" s="125">
        <f>B65</f>
        <v>0</v>
      </c>
      <c r="C81" s="126">
        <f>1.4*E65/(G$25/11.5)</f>
        <v>0.44781094087815726</v>
      </c>
      <c r="D81" s="127">
        <v>6.3</v>
      </c>
      <c r="E81" s="128">
        <f>PI()*(D81/10)^2/4*100/(C81/2)</f>
        <v>139.22148951571188</v>
      </c>
      <c r="F81" s="142" t="s">
        <v>168</v>
      </c>
    </row>
    <row r="82" spans="2:8" x14ac:dyDescent="0.25">
      <c r="B82" s="125">
        <f>B66</f>
        <v>0.5</v>
      </c>
      <c r="C82" s="126">
        <f>1.4*E66/(G$25/11.5)</f>
        <v>1.46785427465568</v>
      </c>
      <c r="D82" s="127">
        <v>6.3</v>
      </c>
      <c r="E82" s="128">
        <f t="shared" ref="E82:E90" si="6">PI()*(D82/10)^2/4*100/(C82/2)</f>
        <v>42.473498416669408</v>
      </c>
      <c r="F82" s="143"/>
    </row>
    <row r="83" spans="2:8" x14ac:dyDescent="0.25">
      <c r="B83" s="117">
        <f>B67</f>
        <v>1</v>
      </c>
      <c r="C83" s="118">
        <f>1.4*E67/(G$25/11.5)</f>
        <v>2.3684956616400439</v>
      </c>
      <c r="D83" s="124">
        <v>6.3</v>
      </c>
      <c r="E83" s="119">
        <f t="shared" si="6"/>
        <v>26.322575641670912</v>
      </c>
      <c r="F83" s="144" t="s">
        <v>170</v>
      </c>
    </row>
    <row r="84" spans="2:8" x14ac:dyDescent="0.25">
      <c r="B84" s="117">
        <f>B68</f>
        <v>1.5</v>
      </c>
      <c r="C84" s="118">
        <f>1.4*E68/(G$25/11.5)</f>
        <v>2.5087877516274859</v>
      </c>
      <c r="D84" s="124">
        <v>6.3</v>
      </c>
      <c r="E84" s="119">
        <f t="shared" si="6"/>
        <v>24.850610088496101</v>
      </c>
      <c r="F84" s="145"/>
    </row>
    <row r="85" spans="2:8" x14ac:dyDescent="0.25">
      <c r="B85" s="125">
        <f>B69</f>
        <v>2</v>
      </c>
      <c r="C85" s="126">
        <f>1.4*E69/(G$25/11.5)</f>
        <v>1.9771724537423496</v>
      </c>
      <c r="D85" s="127">
        <v>6.3</v>
      </c>
      <c r="E85" s="128">
        <f t="shared" si="6"/>
        <v>31.532356265880775</v>
      </c>
      <c r="F85" s="142" t="s">
        <v>171</v>
      </c>
    </row>
    <row r="86" spans="2:8" x14ac:dyDescent="0.25">
      <c r="B86" s="125">
        <f>B70</f>
        <v>2.5</v>
      </c>
      <c r="C86" s="126">
        <f>1.4*E70/(G$25/11.5)</f>
        <v>1.0560256748666448</v>
      </c>
      <c r="D86" s="127">
        <v>6.3</v>
      </c>
      <c r="E86" s="128">
        <f t="shared" si="6"/>
        <v>59.037301548906356</v>
      </c>
      <c r="F86" s="143"/>
    </row>
    <row r="87" spans="2:8" x14ac:dyDescent="0.25">
      <c r="B87" s="117">
        <f>B71</f>
        <v>3</v>
      </c>
      <c r="C87" s="118">
        <f>1.4*E71/(G$25/11.5)</f>
        <v>-1.8874873750742691E-2</v>
      </c>
      <c r="D87" s="124">
        <v>6.3</v>
      </c>
      <c r="E87" s="119">
        <f t="shared" si="6"/>
        <v>-3303.0634818437552</v>
      </c>
      <c r="F87" s="144" t="s">
        <v>168</v>
      </c>
    </row>
    <row r="88" spans="2:8" x14ac:dyDescent="0.25">
      <c r="B88" s="117">
        <f>B72</f>
        <v>3.5</v>
      </c>
      <c r="C88" s="118">
        <f>1.4*E72/(G$25/11.5)</f>
        <v>-1.1156931050641914</v>
      </c>
      <c r="D88" s="124">
        <v>6.3</v>
      </c>
      <c r="E88" s="119">
        <f t="shared" si="6"/>
        <v>-55.879978040110267</v>
      </c>
      <c r="F88" s="145"/>
    </row>
    <row r="89" spans="2:8" x14ac:dyDescent="0.25">
      <c r="B89" s="125">
        <f t="shared" ref="B89:B90" si="7">B72</f>
        <v>3.5</v>
      </c>
      <c r="C89" s="126">
        <f t="shared" ref="C89:C90" si="8">1.4*E72/(G$25/11.5)</f>
        <v>-1.1156931050641914</v>
      </c>
      <c r="D89" s="127">
        <v>6.3</v>
      </c>
      <c r="E89" s="128">
        <f t="shared" si="6"/>
        <v>-55.879978040110267</v>
      </c>
      <c r="F89" s="142" t="s">
        <v>168</v>
      </c>
    </row>
    <row r="90" spans="2:8" x14ac:dyDescent="0.25">
      <c r="B90" s="125">
        <f t="shared" si="7"/>
        <v>4</v>
      </c>
      <c r="C90" s="126">
        <f t="shared" si="8"/>
        <v>-2.1850023683024227</v>
      </c>
      <c r="D90" s="127">
        <v>6.3</v>
      </c>
      <c r="E90" s="128">
        <f t="shared" si="6"/>
        <v>-28.53310692698544</v>
      </c>
      <c r="F90" s="143"/>
    </row>
    <row r="92" spans="2:8" x14ac:dyDescent="0.25">
      <c r="B92" s="24" t="s">
        <v>86</v>
      </c>
    </row>
    <row r="93" spans="2:8" x14ac:dyDescent="0.25">
      <c r="B93" t="s">
        <v>87</v>
      </c>
      <c r="G93" s="25">
        <f>G20+G21+G22+G23</f>
        <v>0</v>
      </c>
      <c r="H93" t="s">
        <v>32</v>
      </c>
    </row>
    <row r="94" spans="2:8" x14ac:dyDescent="0.25">
      <c r="B94" t="s">
        <v>88</v>
      </c>
      <c r="G94" s="25">
        <f>C110</f>
        <v>0</v>
      </c>
      <c r="H94" t="s">
        <v>63</v>
      </c>
    </row>
    <row r="95" spans="2:8" x14ac:dyDescent="0.25">
      <c r="B95" t="s">
        <v>89</v>
      </c>
      <c r="G95" s="25">
        <f>SQRT(2)*G94</f>
        <v>0</v>
      </c>
      <c r="H95" t="s">
        <v>63</v>
      </c>
    </row>
    <row r="96" spans="2:8" x14ac:dyDescent="0.25">
      <c r="B96" t="s">
        <v>121</v>
      </c>
      <c r="G96" s="25">
        <f>ARMAÇÃO!E17</f>
        <v>0</v>
      </c>
      <c r="H96" t="s">
        <v>81</v>
      </c>
    </row>
    <row r="97" spans="2:14" x14ac:dyDescent="0.25">
      <c r="B97" s="55" t="s">
        <v>137</v>
      </c>
      <c r="C97" s="55"/>
      <c r="D97" s="55"/>
      <c r="E97" s="56">
        <v>12.5</v>
      </c>
      <c r="F97" s="55" t="s">
        <v>116</v>
      </c>
      <c r="G97" s="56" t="e">
        <f>PI()*(E97/10)^2/4*100/G96</f>
        <v>#DIV/0!</v>
      </c>
      <c r="H97" s="55" t="s">
        <v>117</v>
      </c>
      <c r="I97" s="138"/>
      <c r="J97" s="138"/>
      <c r="K97" s="138"/>
    </row>
    <row r="98" spans="2:14" x14ac:dyDescent="0.25">
      <c r="B98" t="s">
        <v>133</v>
      </c>
      <c r="E98" s="41"/>
      <c r="F98" s="25"/>
      <c r="G98" s="25">
        <f>-F110</f>
        <v>0</v>
      </c>
      <c r="H98" t="s">
        <v>63</v>
      </c>
    </row>
    <row r="99" spans="2:14" x14ac:dyDescent="0.25">
      <c r="B99" t="s">
        <v>121</v>
      </c>
      <c r="E99" s="41"/>
      <c r="G99" s="25">
        <f>ARMAÇÃO!L17</f>
        <v>0</v>
      </c>
      <c r="H99" t="s">
        <v>81</v>
      </c>
    </row>
    <row r="100" spans="2:14" x14ac:dyDescent="0.25">
      <c r="B100" s="55" t="s">
        <v>138</v>
      </c>
      <c r="C100" s="55"/>
      <c r="D100" s="55"/>
      <c r="E100" s="56">
        <v>12.5</v>
      </c>
      <c r="F100" s="55" t="s">
        <v>116</v>
      </c>
      <c r="G100" s="56" t="e">
        <f>PI()*(E100/10)^2/4*100/G99</f>
        <v>#DIV/0!</v>
      </c>
      <c r="H100" s="55" t="s">
        <v>117</v>
      </c>
    </row>
    <row r="101" spans="2:14" x14ac:dyDescent="0.25">
      <c r="B101" t="s">
        <v>134</v>
      </c>
      <c r="E101" s="41"/>
      <c r="G101" s="25">
        <f>-F111</f>
        <v>0</v>
      </c>
      <c r="H101" t="s">
        <v>63</v>
      </c>
    </row>
    <row r="102" spans="2:14" x14ac:dyDescent="0.25">
      <c r="B102" t="s">
        <v>121</v>
      </c>
      <c r="E102" s="41"/>
      <c r="G102" s="25">
        <f>ARMAÇÃO!E31</f>
        <v>0</v>
      </c>
      <c r="H102" t="s">
        <v>81</v>
      </c>
    </row>
    <row r="103" spans="2:14" x14ac:dyDescent="0.25">
      <c r="B103" s="55" t="s">
        <v>139</v>
      </c>
      <c r="C103" s="55"/>
      <c r="D103" s="55"/>
      <c r="E103" s="56">
        <v>6.3</v>
      </c>
      <c r="F103" s="55" t="s">
        <v>116</v>
      </c>
      <c r="G103" s="56" t="e">
        <f>PI()*(E103/10)^2/4*100/G102</f>
        <v>#DIV/0!</v>
      </c>
      <c r="H103" s="55" t="s">
        <v>117</v>
      </c>
    </row>
    <row r="104" spans="2:14" x14ac:dyDescent="0.25">
      <c r="B104" s="134" t="s">
        <v>172</v>
      </c>
      <c r="C104" s="55"/>
      <c r="D104" s="55"/>
      <c r="E104" s="55"/>
      <c r="F104" s="55"/>
      <c r="G104" s="55"/>
      <c r="H104" s="55"/>
      <c r="I104" s="55"/>
      <c r="J104" s="55"/>
      <c r="K104" s="55"/>
    </row>
    <row r="105" spans="2:14" x14ac:dyDescent="0.25">
      <c r="B105" s="134" t="s">
        <v>173</v>
      </c>
      <c r="C105" s="55"/>
      <c r="D105" s="55"/>
      <c r="E105" s="55"/>
      <c r="F105" s="55"/>
      <c r="G105" s="55"/>
      <c r="H105" s="55"/>
      <c r="I105" s="55"/>
      <c r="J105" s="55"/>
      <c r="K105" s="55"/>
    </row>
    <row r="106" spans="2:14" x14ac:dyDescent="0.25">
      <c r="B106" s="134" t="s">
        <v>174</v>
      </c>
      <c r="C106" s="55"/>
      <c r="D106" s="55"/>
      <c r="E106" s="55"/>
      <c r="F106" s="55"/>
      <c r="G106" s="55"/>
      <c r="H106" s="55"/>
      <c r="I106" s="55"/>
      <c r="J106" s="55"/>
      <c r="K106" s="55"/>
    </row>
    <row r="107" spans="2:14" x14ac:dyDescent="0.25">
      <c r="B107" s="134" t="s">
        <v>169</v>
      </c>
      <c r="C107" s="55"/>
      <c r="D107" s="55"/>
      <c r="E107" s="55"/>
      <c r="F107" s="55"/>
      <c r="G107" s="55"/>
      <c r="H107" s="55"/>
      <c r="I107" s="55"/>
      <c r="J107" s="55"/>
      <c r="K107" s="55"/>
    </row>
    <row r="108" spans="2:14" ht="15.75" thickBot="1" x14ac:dyDescent="0.3">
      <c r="B108" s="58"/>
      <c r="C108" s="58"/>
      <c r="D108" s="58"/>
      <c r="E108" s="59"/>
      <c r="F108" s="58"/>
      <c r="G108" s="59"/>
      <c r="H108" s="58"/>
      <c r="J108" s="5"/>
      <c r="K108" s="5"/>
      <c r="L108" s="64"/>
      <c r="M108" s="5"/>
      <c r="N108" s="57"/>
    </row>
    <row r="109" spans="2:14" ht="15.75" thickTop="1" x14ac:dyDescent="0.25">
      <c r="B109" s="148" t="s">
        <v>129</v>
      </c>
      <c r="C109" s="149"/>
      <c r="D109" s="149"/>
      <c r="E109" s="149"/>
      <c r="F109" s="149"/>
      <c r="G109" s="150"/>
      <c r="J109" s="5"/>
      <c r="K109" s="5"/>
      <c r="L109" s="64"/>
      <c r="M109" s="5"/>
      <c r="N109" s="57"/>
    </row>
    <row r="110" spans="2:14" x14ac:dyDescent="0.25">
      <c r="B110" s="105" t="s">
        <v>122</v>
      </c>
      <c r="C110" s="106">
        <f>C114/16*(C113^2*(1+C115)-C112^2*(3+C115))</f>
        <v>0</v>
      </c>
      <c r="D110" s="107" t="s">
        <v>128</v>
      </c>
      <c r="E110" s="107" t="s">
        <v>131</v>
      </c>
      <c r="F110" s="106">
        <f>G93/16*(F113^2*(1+C115)-F112^2*(3+C115))</f>
        <v>0</v>
      </c>
      <c r="G110" s="108" t="s">
        <v>128</v>
      </c>
      <c r="J110" s="5"/>
      <c r="K110" s="5"/>
      <c r="L110" s="64"/>
      <c r="M110" s="5"/>
      <c r="N110" s="57"/>
    </row>
    <row r="111" spans="2:14" x14ac:dyDescent="0.25">
      <c r="B111" s="109" t="s">
        <v>124</v>
      </c>
      <c r="C111" s="110">
        <f>C114/16*(C113^2*(1+C115)-C112^2*(1+3*C115))</f>
        <v>0</v>
      </c>
      <c r="D111" s="111" t="s">
        <v>128</v>
      </c>
      <c r="E111" s="111" t="s">
        <v>132</v>
      </c>
      <c r="F111" s="110">
        <f>G93/16*(C113^2*(1+C115)-F112^2*(1+3*C115))</f>
        <v>0</v>
      </c>
      <c r="G111" s="112" t="s">
        <v>128</v>
      </c>
      <c r="J111" s="5"/>
      <c r="K111" s="5"/>
      <c r="L111" s="64"/>
      <c r="M111" s="5"/>
      <c r="N111" s="57"/>
    </row>
    <row r="112" spans="2:14" x14ac:dyDescent="0.25">
      <c r="B112" s="109" t="s">
        <v>10</v>
      </c>
      <c r="C112" s="110">
        <v>0</v>
      </c>
      <c r="D112" s="111" t="s">
        <v>24</v>
      </c>
      <c r="E112" s="111" t="s">
        <v>10</v>
      </c>
      <c r="F112" s="113">
        <f>F113</f>
        <v>6.25</v>
      </c>
      <c r="G112" s="112" t="s">
        <v>24</v>
      </c>
      <c r="J112" s="5"/>
      <c r="K112" s="5"/>
      <c r="L112" s="64"/>
      <c r="M112" s="5"/>
      <c r="N112" s="57"/>
    </row>
    <row r="113" spans="2:24" x14ac:dyDescent="0.25">
      <c r="B113" s="109" t="s">
        <v>123</v>
      </c>
      <c r="C113" s="113">
        <f>G8</f>
        <v>6.25</v>
      </c>
      <c r="D113" s="111" t="s">
        <v>24</v>
      </c>
      <c r="E113" s="111" t="s">
        <v>123</v>
      </c>
      <c r="F113" s="113">
        <f>C113</f>
        <v>6.25</v>
      </c>
      <c r="G113" s="112" t="s">
        <v>24</v>
      </c>
      <c r="J113" s="5"/>
      <c r="K113" s="5"/>
      <c r="L113" s="64"/>
      <c r="M113" s="5"/>
      <c r="N113" s="57"/>
    </row>
    <row r="114" spans="2:24" x14ac:dyDescent="0.25">
      <c r="B114" s="109" t="s">
        <v>5</v>
      </c>
      <c r="C114" s="110">
        <f>G93</f>
        <v>0</v>
      </c>
      <c r="D114" s="111" t="s">
        <v>32</v>
      </c>
      <c r="E114" s="114"/>
      <c r="F114" s="113"/>
      <c r="G114" s="112"/>
      <c r="J114" s="5"/>
      <c r="K114" s="5"/>
      <c r="L114" s="64"/>
      <c r="M114" s="5"/>
      <c r="N114" s="57"/>
    </row>
    <row r="115" spans="2:24" ht="18" x14ac:dyDescent="0.35">
      <c r="B115" s="109" t="s">
        <v>125</v>
      </c>
      <c r="C115" s="110">
        <f>G24</f>
        <v>0.2</v>
      </c>
      <c r="D115" s="111"/>
      <c r="E115" s="111" t="s">
        <v>151</v>
      </c>
      <c r="F115" s="111">
        <v>4.45</v>
      </c>
      <c r="G115" s="112" t="s">
        <v>24</v>
      </c>
      <c r="J115" s="5"/>
      <c r="K115" s="5"/>
      <c r="L115" s="64"/>
      <c r="M115" s="5"/>
      <c r="N115" s="57"/>
    </row>
    <row r="116" spans="2:24" x14ac:dyDescent="0.25">
      <c r="B116" s="109" t="s">
        <v>164</v>
      </c>
      <c r="C116" s="113">
        <v>4.4999999999999998E-2</v>
      </c>
      <c r="D116" s="111"/>
      <c r="E116" s="111"/>
      <c r="F116" s="111"/>
      <c r="G116" s="112"/>
      <c r="J116" s="5"/>
      <c r="K116" s="5"/>
      <c r="L116" s="64"/>
      <c r="M116" s="5"/>
      <c r="N116" s="57"/>
    </row>
    <row r="117" spans="2:24" ht="18" x14ac:dyDescent="0.35">
      <c r="B117" s="109" t="s">
        <v>126</v>
      </c>
      <c r="C117" s="113">
        <f>G11-C116</f>
        <v>-4.4999999999999998E-2</v>
      </c>
      <c r="D117" s="111" t="s">
        <v>24</v>
      </c>
      <c r="E117" s="111" t="s">
        <v>152</v>
      </c>
      <c r="F117" s="111">
        <v>6.3</v>
      </c>
      <c r="G117" s="112" t="s">
        <v>24</v>
      </c>
      <c r="J117" s="5"/>
      <c r="K117" s="5"/>
      <c r="L117" s="64"/>
      <c r="M117" s="5"/>
      <c r="N117" s="57"/>
    </row>
    <row r="118" spans="2:24" x14ac:dyDescent="0.25">
      <c r="B118" s="109" t="s">
        <v>14</v>
      </c>
      <c r="C118" s="115">
        <f>G16</f>
        <v>39176991</v>
      </c>
      <c r="D118" s="111" t="s">
        <v>32</v>
      </c>
      <c r="E118" s="111"/>
      <c r="F118" s="111"/>
      <c r="G118" s="112"/>
      <c r="J118" s="5"/>
      <c r="K118" s="5"/>
      <c r="L118" s="64"/>
      <c r="M118" s="5"/>
      <c r="N118" s="57"/>
    </row>
    <row r="119" spans="2:24" x14ac:dyDescent="0.25">
      <c r="B119" s="109" t="s">
        <v>48</v>
      </c>
      <c r="C119" s="116">
        <f>C118*C117^3/12/(1-C115^2)</f>
        <v>-309.89612021484373</v>
      </c>
      <c r="D119" s="111"/>
      <c r="E119" s="111"/>
      <c r="F119" s="111"/>
      <c r="G119" s="112"/>
      <c r="J119" s="5"/>
      <c r="K119" s="5"/>
      <c r="L119" s="64"/>
      <c r="M119" s="5"/>
      <c r="N119" s="57"/>
    </row>
    <row r="120" spans="2:24" ht="18.75" thickBot="1" x14ac:dyDescent="0.4">
      <c r="B120" s="47" t="s">
        <v>127</v>
      </c>
      <c r="C120" s="121">
        <f>C114*C113^4/64/C119</f>
        <v>0</v>
      </c>
      <c r="D120" s="121" t="s">
        <v>24</v>
      </c>
      <c r="E120" s="120">
        <f>C120*100</f>
        <v>0</v>
      </c>
      <c r="F120" s="121" t="s">
        <v>100</v>
      </c>
      <c r="G120" s="48">
        <f>C113*2*100/300</f>
        <v>4.166666666666667</v>
      </c>
      <c r="J120" s="5"/>
      <c r="K120" s="5"/>
      <c r="L120" s="64"/>
      <c r="M120" s="5"/>
      <c r="N120" s="57"/>
    </row>
    <row r="121" spans="2:24" ht="15.75" thickTop="1" x14ac:dyDescent="0.25">
      <c r="B121" s="58"/>
      <c r="C121" s="58"/>
      <c r="D121" s="58"/>
      <c r="E121" s="59"/>
      <c r="F121" s="58"/>
      <c r="G121" s="59"/>
      <c r="H121" s="58"/>
      <c r="S121" s="5"/>
      <c r="T121" s="5"/>
      <c r="U121" s="5"/>
      <c r="V121" s="49"/>
      <c r="W121" s="5"/>
      <c r="X121" s="57"/>
    </row>
    <row r="122" spans="2:24" ht="14.1" customHeight="1" x14ac:dyDescent="0.25">
      <c r="B122" s="24" t="s">
        <v>118</v>
      </c>
    </row>
    <row r="123" spans="2:24" ht="14.1" customHeight="1" x14ac:dyDescent="0.25">
      <c r="B123" t="s">
        <v>87</v>
      </c>
      <c r="G123" s="25">
        <f>(PI()*G8^2*G93+PI()*G7*G10*G6*G17)/(PI()*(G8+G9)^2)</f>
        <v>4.6399999999999997</v>
      </c>
      <c r="H123" t="s">
        <v>32</v>
      </c>
    </row>
    <row r="124" spans="2:24" ht="14.1" customHeight="1" x14ac:dyDescent="0.25">
      <c r="B124" t="s">
        <v>88</v>
      </c>
      <c r="G124" s="25">
        <f>C136-C42</f>
        <v>8.5349706439492614</v>
      </c>
      <c r="H124" t="s">
        <v>63</v>
      </c>
    </row>
    <row r="125" spans="2:24" ht="14.1" customHeight="1" x14ac:dyDescent="0.25">
      <c r="B125" t="s">
        <v>89</v>
      </c>
      <c r="G125" s="25">
        <f>SQRT(2)*G124</f>
        <v>12.070271239129275</v>
      </c>
      <c r="H125" t="s">
        <v>63</v>
      </c>
    </row>
    <row r="126" spans="2:24" ht="14.1" customHeight="1" x14ac:dyDescent="0.25">
      <c r="B126" t="s">
        <v>121</v>
      </c>
      <c r="G126" s="25">
        <f>ARMAÇÃO!L31</f>
        <v>2.5449041659897791</v>
      </c>
      <c r="H126" t="s">
        <v>81</v>
      </c>
    </row>
    <row r="127" spans="2:24" ht="14.1" customHeight="1" x14ac:dyDescent="0.25">
      <c r="B127" s="55" t="s">
        <v>137</v>
      </c>
      <c r="C127" s="55"/>
      <c r="D127" s="55"/>
      <c r="E127" s="56">
        <v>8</v>
      </c>
      <c r="F127" s="55" t="s">
        <v>116</v>
      </c>
      <c r="G127" s="56">
        <f>PI()*(E127/10)^2/4*100/G126</f>
        <v>19.751424485521696</v>
      </c>
      <c r="H127" s="55" t="s">
        <v>117</v>
      </c>
    </row>
    <row r="128" spans="2:24" ht="14.1" customHeight="1" x14ac:dyDescent="0.25">
      <c r="B128" t="s">
        <v>133</v>
      </c>
      <c r="E128" s="41"/>
      <c r="F128" s="25"/>
      <c r="G128" s="25">
        <f>-(F136+F65)</f>
        <v>17.597470643949261</v>
      </c>
      <c r="H128" t="s">
        <v>63</v>
      </c>
    </row>
    <row r="129" spans="2:11" ht="14.1" customHeight="1" x14ac:dyDescent="0.25">
      <c r="B129" t="s">
        <v>121</v>
      </c>
      <c r="E129" s="41"/>
      <c r="G129" s="25">
        <f>ARMAÇÃO!E45</f>
        <v>3.7363550373611893</v>
      </c>
      <c r="H129" t="s">
        <v>81</v>
      </c>
    </row>
    <row r="130" spans="2:11" ht="14.1" customHeight="1" x14ac:dyDescent="0.25">
      <c r="B130" s="55" t="s">
        <v>138</v>
      </c>
      <c r="C130" s="55"/>
      <c r="D130" s="55"/>
      <c r="E130" s="56">
        <v>10</v>
      </c>
      <c r="F130" s="55" t="s">
        <v>116</v>
      </c>
      <c r="G130" s="56">
        <f>PI()*(E130/10)^2/4*100/G129</f>
        <v>21.02043717858616</v>
      </c>
      <c r="H130" s="55" t="s">
        <v>117</v>
      </c>
    </row>
    <row r="131" spans="2:11" ht="14.1" customHeight="1" x14ac:dyDescent="0.25">
      <c r="B131" t="s">
        <v>134</v>
      </c>
      <c r="E131" s="41"/>
      <c r="G131" s="25">
        <f>-(F137+G65)</f>
        <v>3.5194941287898525</v>
      </c>
      <c r="H131" t="s">
        <v>63</v>
      </c>
    </row>
    <row r="132" spans="2:11" ht="14.1" customHeight="1" x14ac:dyDescent="0.25">
      <c r="B132" t="s">
        <v>121</v>
      </c>
      <c r="E132" s="41"/>
      <c r="G132" s="25">
        <f>ARMAÇÃO!L45</f>
        <v>0.73426009805043058</v>
      </c>
      <c r="H132" t="s">
        <v>81</v>
      </c>
    </row>
    <row r="133" spans="2:11" ht="14.1" customHeight="1" x14ac:dyDescent="0.25">
      <c r="B133" s="55" t="s">
        <v>139</v>
      </c>
      <c r="C133" s="55"/>
      <c r="D133" s="55"/>
      <c r="E133" s="56">
        <v>8</v>
      </c>
      <c r="F133" s="55" t="s">
        <v>116</v>
      </c>
      <c r="G133" s="56">
        <f>PI()*(E133/10)^2/4*100/G132</f>
        <v>68.457325395863137</v>
      </c>
      <c r="H133" s="55" t="s">
        <v>117</v>
      </c>
    </row>
    <row r="134" spans="2:11" ht="15.75" thickBot="1" x14ac:dyDescent="0.3">
      <c r="B134" s="58"/>
      <c r="C134" s="58"/>
      <c r="D134" s="58"/>
      <c r="E134" s="59"/>
      <c r="F134" s="58"/>
      <c r="G134" s="59"/>
      <c r="H134" s="58"/>
    </row>
    <row r="135" spans="2:11" ht="15.75" thickTop="1" x14ac:dyDescent="0.25">
      <c r="B135" s="151" t="s">
        <v>130</v>
      </c>
      <c r="C135" s="152"/>
      <c r="D135" s="152"/>
      <c r="E135" s="152"/>
      <c r="F135" s="152"/>
      <c r="G135" s="153"/>
    </row>
    <row r="136" spans="2:11" x14ac:dyDescent="0.25">
      <c r="B136" s="105" t="s">
        <v>122</v>
      </c>
      <c r="C136" s="106">
        <f>C140/16*(C139^2*(1+C141)-C138^2*(3+C141))</f>
        <v>13.593749999999998</v>
      </c>
      <c r="D136" s="107" t="s">
        <v>128</v>
      </c>
      <c r="E136" s="107" t="s">
        <v>131</v>
      </c>
      <c r="F136" s="106">
        <f>C140/16*(F139^2*(1+C141)-F138^2*(3+C141))</f>
        <v>-22.65625</v>
      </c>
      <c r="G136" s="108" t="s">
        <v>128</v>
      </c>
    </row>
    <row r="137" spans="2:11" x14ac:dyDescent="0.25">
      <c r="B137" s="109" t="s">
        <v>124</v>
      </c>
      <c r="C137" s="110">
        <f>C140/16*(C139^2*(1+C141)-C138^2*(1+3*C141))</f>
        <v>13.593749999999998</v>
      </c>
      <c r="D137" s="111" t="s">
        <v>128</v>
      </c>
      <c r="E137" s="111" t="s">
        <v>132</v>
      </c>
      <c r="F137" s="110">
        <f>C140/16*(F139^2*(1+C141)-F138^2*(1+3*C141))</f>
        <v>-4.53125</v>
      </c>
      <c r="G137" s="112" t="s">
        <v>128</v>
      </c>
    </row>
    <row r="138" spans="2:11" x14ac:dyDescent="0.25">
      <c r="B138" s="109" t="s">
        <v>10</v>
      </c>
      <c r="C138" s="110">
        <v>0</v>
      </c>
      <c r="D138" s="111" t="s">
        <v>24</v>
      </c>
      <c r="E138" s="111" t="s">
        <v>10</v>
      </c>
      <c r="F138" s="113">
        <f>F139</f>
        <v>6.25</v>
      </c>
      <c r="G138" s="112" t="s">
        <v>24</v>
      </c>
    </row>
    <row r="139" spans="2:11" x14ac:dyDescent="0.25">
      <c r="B139" s="109" t="s">
        <v>123</v>
      </c>
      <c r="C139" s="113">
        <f>G8+G9</f>
        <v>6.25</v>
      </c>
      <c r="D139" s="111" t="s">
        <v>24</v>
      </c>
      <c r="E139" s="111" t="s">
        <v>123</v>
      </c>
      <c r="F139" s="113">
        <f>C139</f>
        <v>6.25</v>
      </c>
      <c r="G139" s="112" t="s">
        <v>24</v>
      </c>
    </row>
    <row r="140" spans="2:11" x14ac:dyDescent="0.25">
      <c r="B140" s="109" t="s">
        <v>5</v>
      </c>
      <c r="C140" s="110">
        <f>G123</f>
        <v>4.6399999999999997</v>
      </c>
      <c r="D140" s="111" t="s">
        <v>32</v>
      </c>
      <c r="E140" s="114"/>
      <c r="F140" s="113"/>
      <c r="G140" s="112"/>
    </row>
    <row r="141" spans="2:11" ht="18" x14ac:dyDescent="0.35">
      <c r="B141" s="109" t="s">
        <v>125</v>
      </c>
      <c r="C141" s="110">
        <f>G24</f>
        <v>0.2</v>
      </c>
      <c r="D141" s="111"/>
      <c r="E141" s="111" t="s">
        <v>151</v>
      </c>
      <c r="F141" s="110">
        <v>4.9000000000000004</v>
      </c>
      <c r="G141" s="112" t="s">
        <v>24</v>
      </c>
      <c r="H141" s="147"/>
      <c r="I141" s="138"/>
      <c r="J141" s="138"/>
      <c r="K141" s="138"/>
    </row>
    <row r="142" spans="2:11" x14ac:dyDescent="0.25">
      <c r="B142" s="109" t="s">
        <v>164</v>
      </c>
      <c r="C142" s="113">
        <v>4.4999999999999998E-2</v>
      </c>
      <c r="D142" s="111"/>
      <c r="E142" s="111"/>
      <c r="F142" s="110"/>
      <c r="G142" s="112"/>
      <c r="H142" s="79"/>
      <c r="I142" s="136"/>
      <c r="J142" s="136"/>
      <c r="K142" s="136"/>
    </row>
    <row r="143" spans="2:11" ht="18" x14ac:dyDescent="0.35">
      <c r="B143" s="109" t="s">
        <v>126</v>
      </c>
      <c r="C143" s="113">
        <f>G13-C142</f>
        <v>0.15500000000000003</v>
      </c>
      <c r="D143" s="111" t="s">
        <v>24</v>
      </c>
      <c r="E143" s="111" t="s">
        <v>152</v>
      </c>
      <c r="F143" s="110">
        <v>6.9</v>
      </c>
      <c r="G143" s="112" t="s">
        <v>24</v>
      </c>
      <c r="H143" s="58"/>
      <c r="I143" s="138"/>
      <c r="J143" s="138"/>
      <c r="K143" s="58"/>
    </row>
    <row r="144" spans="2:11" x14ac:dyDescent="0.25">
      <c r="B144" s="109" t="s">
        <v>14</v>
      </c>
      <c r="C144" s="115">
        <f>G16</f>
        <v>39176991</v>
      </c>
      <c r="D144" s="111" t="s">
        <v>32</v>
      </c>
      <c r="E144" s="111"/>
      <c r="F144" s="111"/>
      <c r="G144" s="112"/>
    </row>
    <row r="145" spans="2:10" x14ac:dyDescent="0.25">
      <c r="B145" s="109" t="s">
        <v>48</v>
      </c>
      <c r="C145" s="116">
        <f>C144*C143^3/12/(1-C141^2)</f>
        <v>12664.081368066414</v>
      </c>
      <c r="D145" s="111"/>
      <c r="E145" s="111"/>
      <c r="F145" s="111"/>
      <c r="G145" s="112"/>
    </row>
    <row r="146" spans="2:10" ht="18.75" thickBot="1" x14ac:dyDescent="0.4">
      <c r="B146" s="47" t="s">
        <v>127</v>
      </c>
      <c r="C146" s="121">
        <f>C140*C139^4/64/C145</f>
        <v>8.7354319265571558E-3</v>
      </c>
      <c r="D146" s="121" t="s">
        <v>24</v>
      </c>
      <c r="E146" s="120">
        <f>C146*100</f>
        <v>0.87354319265571556</v>
      </c>
      <c r="F146" s="121" t="s">
        <v>100</v>
      </c>
      <c r="G146" s="48">
        <f>C139*2*100/300</f>
        <v>4.166666666666667</v>
      </c>
    </row>
    <row r="147" spans="2:10" ht="14.1" customHeight="1" thickTop="1" x14ac:dyDescent="0.25">
      <c r="B147" s="5"/>
      <c r="C147" s="5"/>
      <c r="D147" s="5"/>
      <c r="E147" s="49"/>
      <c r="F147" s="5"/>
      <c r="G147" s="57"/>
      <c r="J147">
        <v>75.5</v>
      </c>
    </row>
    <row r="148" spans="2:10" ht="14.1" customHeight="1" x14ac:dyDescent="0.25">
      <c r="B148" s="24" t="s">
        <v>175</v>
      </c>
      <c r="F148" s="154"/>
    </row>
    <row r="149" spans="2:10" ht="14.1" customHeight="1" x14ac:dyDescent="0.25">
      <c r="B149" t="s">
        <v>177</v>
      </c>
      <c r="F149" s="154">
        <f>75.5*25</f>
        <v>1887.5</v>
      </c>
      <c r="G149" t="s">
        <v>176</v>
      </c>
    </row>
    <row r="150" spans="2:10" ht="14.1" customHeight="1" x14ac:dyDescent="0.25">
      <c r="B150" t="s">
        <v>178</v>
      </c>
      <c r="F150" s="155">
        <f>PI()*12.5^2/4*4*10</f>
        <v>4908.7385212340523</v>
      </c>
      <c r="G150" t="s">
        <v>176</v>
      </c>
    </row>
    <row r="151" spans="2:10" ht="14.1" customHeight="1" x14ac:dyDescent="0.25">
      <c r="B151" t="s">
        <v>179</v>
      </c>
      <c r="F151" s="156">
        <f>F149+F150</f>
        <v>6796.2385212340523</v>
      </c>
      <c r="G151" t="s">
        <v>176</v>
      </c>
    </row>
    <row r="152" spans="2:10" ht="14.1" customHeight="1" x14ac:dyDescent="0.25">
      <c r="B152" t="s">
        <v>181</v>
      </c>
      <c r="F152" s="155">
        <f>PI()*16.5^2/4</f>
        <v>213.8246499849553</v>
      </c>
      <c r="G152" t="s">
        <v>180</v>
      </c>
    </row>
    <row r="153" spans="2:10" ht="14.1" customHeight="1" x14ac:dyDescent="0.25">
      <c r="B153" t="s">
        <v>183</v>
      </c>
      <c r="C153" s="58"/>
      <c r="D153" s="58"/>
      <c r="E153" s="58"/>
      <c r="F153" s="157">
        <f>F151/F152/100</f>
        <v>0.31784167642562428</v>
      </c>
      <c r="G153" t="s">
        <v>182</v>
      </c>
    </row>
    <row r="154" spans="2:10" ht="14.1" customHeight="1" x14ac:dyDescent="0.25">
      <c r="B154" t="s">
        <v>184</v>
      </c>
      <c r="F154" s="154">
        <f>F151*0.15</f>
        <v>1019.4357781851078</v>
      </c>
      <c r="G154" t="s">
        <v>176</v>
      </c>
    </row>
    <row r="155" spans="2:10" ht="14.1" customHeight="1" x14ac:dyDescent="0.25">
      <c r="B155" t="s">
        <v>185</v>
      </c>
      <c r="F155" s="155">
        <f>F151-F154</f>
        <v>5776.8027430489446</v>
      </c>
      <c r="G155" t="s">
        <v>176</v>
      </c>
    </row>
    <row r="156" spans="2:10" ht="14.1" customHeight="1" x14ac:dyDescent="0.25">
      <c r="B156" t="s">
        <v>186</v>
      </c>
      <c r="F156" s="154">
        <f>520</f>
        <v>520</v>
      </c>
      <c r="G156" t="s">
        <v>176</v>
      </c>
    </row>
  </sheetData>
  <mergeCells count="12">
    <mergeCell ref="H141:K141"/>
    <mergeCell ref="I143:J143"/>
    <mergeCell ref="B109:G109"/>
    <mergeCell ref="B135:G135"/>
    <mergeCell ref="I97:K97"/>
    <mergeCell ref="B62:H62"/>
    <mergeCell ref="F89:F90"/>
    <mergeCell ref="F87:F88"/>
    <mergeCell ref="F85:F86"/>
    <mergeCell ref="F83:F84"/>
    <mergeCell ref="F81:F82"/>
    <mergeCell ref="B79:F79"/>
  </mergeCells>
  <pageMargins left="0.98425196850393704" right="0.51181102362204722" top="0.78740157480314965" bottom="0.78740157480314965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="85" zoomScaleNormal="85" workbookViewId="0">
      <selection activeCell="O28" sqref="O28"/>
    </sheetView>
  </sheetViews>
  <sheetFormatPr defaultRowHeight="15" x14ac:dyDescent="0.25"/>
  <cols>
    <col min="1" max="1" width="7.7109375" customWidth="1"/>
    <col min="4" max="4" width="7.7109375" customWidth="1"/>
    <col min="7" max="7" width="3.42578125" customWidth="1"/>
    <col min="8" max="8" width="7.7109375" customWidth="1"/>
    <col min="11" max="11" width="7.7109375" customWidth="1"/>
  </cols>
  <sheetData>
    <row r="1" spans="1:13" x14ac:dyDescent="0.25">
      <c r="A1" s="158" t="s">
        <v>172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x14ac:dyDescent="0.25">
      <c r="A2" s="158" t="s">
        <v>173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13" x14ac:dyDescent="0.25">
      <c r="A3" s="158" t="s">
        <v>174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</row>
    <row r="4" spans="1:13" x14ac:dyDescent="0.25">
      <c r="A4" s="158" t="s">
        <v>169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5">
      <c r="A6" s="160" t="s">
        <v>135</v>
      </c>
      <c r="B6" s="160"/>
      <c r="C6" s="160"/>
      <c r="D6" s="160"/>
      <c r="E6" s="160"/>
      <c r="F6" s="160"/>
      <c r="G6" s="160"/>
      <c r="H6" s="160" t="s">
        <v>136</v>
      </c>
      <c r="I6" s="160"/>
      <c r="J6" s="160"/>
      <c r="K6" s="160"/>
      <c r="L6" s="160"/>
      <c r="M6" s="160"/>
    </row>
    <row r="7" spans="1:13" x14ac:dyDescent="0.25">
      <c r="A7" s="5"/>
      <c r="B7" s="5"/>
      <c r="C7" s="5"/>
      <c r="D7" s="5"/>
      <c r="E7" s="5"/>
      <c r="F7" s="5"/>
      <c r="G7" s="160"/>
      <c r="H7" s="5"/>
      <c r="I7" s="5"/>
      <c r="J7" s="5"/>
      <c r="K7" s="5"/>
      <c r="L7" s="5"/>
      <c r="M7" s="5"/>
    </row>
    <row r="8" spans="1:13" x14ac:dyDescent="0.25">
      <c r="A8" s="5" t="s">
        <v>90</v>
      </c>
      <c r="B8" s="5">
        <f>'TQ CILIND.'!G15</f>
        <v>40</v>
      </c>
      <c r="C8" s="5" t="s">
        <v>26</v>
      </c>
      <c r="D8" s="5" t="s">
        <v>91</v>
      </c>
      <c r="E8" s="161">
        <f>0.85*B8/10/B10</f>
        <v>2.4285714285714288</v>
      </c>
      <c r="F8" s="5" t="s">
        <v>92</v>
      </c>
      <c r="G8" s="160"/>
      <c r="H8" s="5" t="s">
        <v>90</v>
      </c>
      <c r="I8" s="5">
        <f>B8</f>
        <v>40</v>
      </c>
      <c r="J8" s="5" t="s">
        <v>26</v>
      </c>
      <c r="K8" s="5" t="s">
        <v>91</v>
      </c>
      <c r="L8" s="161">
        <f>0.85*I8/10/I10</f>
        <v>2.4285714285714288</v>
      </c>
      <c r="M8" s="5" t="s">
        <v>92</v>
      </c>
    </row>
    <row r="9" spans="1:13" x14ac:dyDescent="0.25">
      <c r="A9" s="5" t="s">
        <v>93</v>
      </c>
      <c r="B9" s="5">
        <f>'TQ CILIND.'!G25/10</f>
        <v>50</v>
      </c>
      <c r="C9" s="5" t="s">
        <v>92</v>
      </c>
      <c r="D9" s="5" t="s">
        <v>94</v>
      </c>
      <c r="E9" s="161">
        <f>B9/B11</f>
        <v>43.478260869565219</v>
      </c>
      <c r="F9" s="5" t="s">
        <v>92</v>
      </c>
      <c r="G9" s="160"/>
      <c r="H9" s="5" t="s">
        <v>93</v>
      </c>
      <c r="I9" s="5">
        <f>B9</f>
        <v>50</v>
      </c>
      <c r="J9" s="5" t="s">
        <v>92</v>
      </c>
      <c r="K9" s="5" t="s">
        <v>94</v>
      </c>
      <c r="L9" s="161">
        <f>I9/I11</f>
        <v>43.478260869565219</v>
      </c>
      <c r="M9" s="5" t="s">
        <v>92</v>
      </c>
    </row>
    <row r="10" spans="1:13" x14ac:dyDescent="0.25">
      <c r="A10" s="5" t="s">
        <v>95</v>
      </c>
      <c r="B10" s="5">
        <v>1.4</v>
      </c>
      <c r="C10" s="5"/>
      <c r="D10" s="5" t="s">
        <v>96</v>
      </c>
      <c r="E10" s="5">
        <f>B12*B17*100</f>
        <v>0</v>
      </c>
      <c r="F10" s="5" t="s">
        <v>97</v>
      </c>
      <c r="G10" s="160"/>
      <c r="H10" s="5" t="s">
        <v>95</v>
      </c>
      <c r="I10" s="5">
        <v>1.4</v>
      </c>
      <c r="J10" s="5"/>
      <c r="K10" s="5" t="s">
        <v>96</v>
      </c>
      <c r="L10" s="5">
        <f>I12*I17*100</f>
        <v>0</v>
      </c>
      <c r="M10" s="5" t="s">
        <v>97</v>
      </c>
    </row>
    <row r="11" spans="1:13" x14ac:dyDescent="0.25">
      <c r="A11" s="5" t="s">
        <v>98</v>
      </c>
      <c r="B11" s="5">
        <v>1.1499999999999999</v>
      </c>
      <c r="C11" s="5"/>
      <c r="D11" s="5" t="s">
        <v>99</v>
      </c>
      <c r="E11" s="162">
        <f>SQRT(E10/E8/B13/B16)</f>
        <v>0</v>
      </c>
      <c r="F11" s="5" t="s">
        <v>100</v>
      </c>
      <c r="G11" s="160"/>
      <c r="H11" s="5" t="s">
        <v>98</v>
      </c>
      <c r="I11" s="5">
        <v>1.1499999999999999</v>
      </c>
      <c r="J11" s="5"/>
      <c r="K11" s="5" t="s">
        <v>99</v>
      </c>
      <c r="L11" s="162">
        <f>SQRT(L10/L8/I13/I16)</f>
        <v>0</v>
      </c>
      <c r="M11" s="5" t="s">
        <v>100</v>
      </c>
    </row>
    <row r="12" spans="1:13" x14ac:dyDescent="0.25">
      <c r="A12" s="5" t="s">
        <v>101</v>
      </c>
      <c r="B12" s="5">
        <v>1.4</v>
      </c>
      <c r="C12" s="5"/>
      <c r="D12" s="5" t="s">
        <v>102</v>
      </c>
      <c r="E12" s="5">
        <f>B14-B15</f>
        <v>-4.5</v>
      </c>
      <c r="F12" s="5" t="s">
        <v>100</v>
      </c>
      <c r="G12" s="160"/>
      <c r="H12" s="5" t="s">
        <v>101</v>
      </c>
      <c r="I12" s="5">
        <v>1.4</v>
      </c>
      <c r="J12" s="5"/>
      <c r="K12" s="5" t="s">
        <v>102</v>
      </c>
      <c r="L12" s="5">
        <f>I14-I15</f>
        <v>-4.5</v>
      </c>
      <c r="M12" s="5" t="s">
        <v>100</v>
      </c>
    </row>
    <row r="13" spans="1:13" x14ac:dyDescent="0.25">
      <c r="A13" s="5" t="s">
        <v>103</v>
      </c>
      <c r="B13" s="5">
        <v>100</v>
      </c>
      <c r="C13" s="5" t="s">
        <v>100</v>
      </c>
      <c r="D13" s="5" t="s">
        <v>104</v>
      </c>
      <c r="E13" s="49">
        <f>E10/E8/B13/E12^2</f>
        <v>0</v>
      </c>
      <c r="F13" s="5"/>
      <c r="G13" s="160"/>
      <c r="H13" s="5" t="s">
        <v>103</v>
      </c>
      <c r="I13" s="5">
        <v>100</v>
      </c>
      <c r="J13" s="5" t="s">
        <v>100</v>
      </c>
      <c r="K13" s="5" t="s">
        <v>104</v>
      </c>
      <c r="L13" s="49">
        <f>L10/L8/I13/L12^2</f>
        <v>0</v>
      </c>
      <c r="M13" s="5"/>
    </row>
    <row r="14" spans="1:13" x14ac:dyDescent="0.25">
      <c r="A14" s="5" t="s">
        <v>105</v>
      </c>
      <c r="B14" s="161">
        <f>'TQ CILIND.'!G11*100</f>
        <v>0</v>
      </c>
      <c r="C14" s="5" t="s">
        <v>100</v>
      </c>
      <c r="D14" s="5" t="s">
        <v>106</v>
      </c>
      <c r="E14" s="49">
        <f>IF(E13&gt;B16,B16,E13)</f>
        <v>0</v>
      </c>
      <c r="F14" s="5"/>
      <c r="G14" s="160"/>
      <c r="H14" s="5" t="s">
        <v>105</v>
      </c>
      <c r="I14" s="161">
        <f>B14</f>
        <v>0</v>
      </c>
      <c r="J14" s="5" t="s">
        <v>100</v>
      </c>
      <c r="K14" s="5" t="s">
        <v>106</v>
      </c>
      <c r="L14" s="49">
        <f>IF(L13&gt;I16,I16,L13)</f>
        <v>0</v>
      </c>
      <c r="M14" s="5"/>
    </row>
    <row r="15" spans="1:13" ht="15.75" x14ac:dyDescent="0.3">
      <c r="A15" s="5" t="s">
        <v>107</v>
      </c>
      <c r="B15" s="161">
        <f>'TQ CILIND.'!C116*100</f>
        <v>4.5</v>
      </c>
      <c r="C15" s="5"/>
      <c r="D15" s="5" t="s">
        <v>108</v>
      </c>
      <c r="E15" s="161">
        <f>E8*B13*E12/E9*(1-SQRT(1-2*E14))</f>
        <v>0</v>
      </c>
      <c r="F15" s="5" t="s">
        <v>109</v>
      </c>
      <c r="G15" s="160"/>
      <c r="H15" s="5" t="s">
        <v>107</v>
      </c>
      <c r="I15" s="161">
        <f>B15</f>
        <v>4.5</v>
      </c>
      <c r="J15" s="5"/>
      <c r="K15" s="5" t="s">
        <v>108</v>
      </c>
      <c r="L15" s="161">
        <f>L8*I13*L12/L9*(1-SQRT(1-2*L14))</f>
        <v>0</v>
      </c>
      <c r="M15" s="5" t="s">
        <v>109</v>
      </c>
    </row>
    <row r="16" spans="1:13" ht="15.75" x14ac:dyDescent="0.3">
      <c r="A16" s="5" t="s">
        <v>110</v>
      </c>
      <c r="B16" s="5">
        <v>0.376</v>
      </c>
      <c r="C16" s="5"/>
      <c r="D16" s="5" t="s">
        <v>111</v>
      </c>
      <c r="E16" s="161">
        <f>E8*B13*E12/E9*(E13-E14)/(1-B15/E12)</f>
        <v>0</v>
      </c>
      <c r="F16" s="5" t="s">
        <v>109</v>
      </c>
      <c r="G16" s="160"/>
      <c r="H16" s="5" t="s">
        <v>110</v>
      </c>
      <c r="I16" s="5">
        <v>0.376</v>
      </c>
      <c r="J16" s="5"/>
      <c r="K16" s="5" t="s">
        <v>111</v>
      </c>
      <c r="L16" s="161">
        <f>L8*I13*L12/L9*(L13-L14)/(1-I15/L12)</f>
        <v>0</v>
      </c>
      <c r="M16" s="5" t="s">
        <v>109</v>
      </c>
    </row>
    <row r="17" spans="1:13" x14ac:dyDescent="0.25">
      <c r="A17" s="5" t="s">
        <v>112</v>
      </c>
      <c r="B17" s="161">
        <f>'TQ CILIND.'!G95</f>
        <v>0</v>
      </c>
      <c r="C17" s="5" t="s">
        <v>113</v>
      </c>
      <c r="D17" s="163" t="s">
        <v>114</v>
      </c>
      <c r="E17" s="164">
        <f>E15+E16</f>
        <v>0</v>
      </c>
      <c r="F17" s="163" t="s">
        <v>109</v>
      </c>
      <c r="G17" s="160"/>
      <c r="H17" s="5" t="s">
        <v>112</v>
      </c>
      <c r="I17" s="161">
        <f>'TQ CILIND.'!G98</f>
        <v>0</v>
      </c>
      <c r="J17" s="5" t="s">
        <v>113</v>
      </c>
      <c r="K17" s="163" t="s">
        <v>114</v>
      </c>
      <c r="L17" s="164">
        <f>L15+L16</f>
        <v>0</v>
      </c>
      <c r="M17" s="163" t="s">
        <v>109</v>
      </c>
    </row>
    <row r="18" spans="1:13" x14ac:dyDescent="0.25">
      <c r="A18" s="5"/>
      <c r="B18" s="5"/>
      <c r="C18" s="5"/>
      <c r="D18" s="163" t="s">
        <v>115</v>
      </c>
      <c r="E18" s="164">
        <f>E16</f>
        <v>0</v>
      </c>
      <c r="F18" s="163" t="s">
        <v>109</v>
      </c>
      <c r="G18" s="160"/>
      <c r="H18" s="5"/>
      <c r="I18" s="5"/>
      <c r="J18" s="5"/>
      <c r="K18" s="163" t="s">
        <v>115</v>
      </c>
      <c r="L18" s="164">
        <f>L16</f>
        <v>0</v>
      </c>
      <c r="M18" s="163" t="s">
        <v>109</v>
      </c>
    </row>
    <row r="19" spans="1:13" x14ac:dyDescent="0.25">
      <c r="A19" s="5"/>
      <c r="B19" s="5"/>
      <c r="C19" s="5"/>
      <c r="D19" s="5"/>
      <c r="E19" s="5"/>
      <c r="F19" s="5"/>
      <c r="G19" s="160"/>
      <c r="H19" s="5"/>
      <c r="I19" s="5"/>
      <c r="J19" s="5"/>
      <c r="K19" s="5"/>
      <c r="L19" s="5"/>
      <c r="M19" s="5"/>
    </row>
    <row r="20" spans="1:13" x14ac:dyDescent="0.25">
      <c r="A20" s="160" t="s">
        <v>140</v>
      </c>
      <c r="B20" s="160"/>
      <c r="C20" s="160"/>
      <c r="D20" s="160"/>
      <c r="E20" s="160"/>
      <c r="F20" s="160"/>
      <c r="G20" s="160"/>
      <c r="H20" s="160" t="s">
        <v>141</v>
      </c>
      <c r="I20" s="160"/>
      <c r="J20" s="160"/>
      <c r="K20" s="160"/>
      <c r="L20" s="160"/>
      <c r="M20" s="160"/>
    </row>
    <row r="21" spans="1:13" x14ac:dyDescent="0.25">
      <c r="A21" s="5"/>
      <c r="B21" s="5"/>
      <c r="C21" s="5"/>
      <c r="D21" s="5"/>
      <c r="E21" s="5"/>
      <c r="F21" s="5"/>
      <c r="G21" s="160"/>
      <c r="H21" s="5"/>
      <c r="I21" s="5"/>
      <c r="J21" s="5"/>
      <c r="K21" s="5"/>
      <c r="L21" s="5"/>
      <c r="M21" s="5"/>
    </row>
    <row r="22" spans="1:13" x14ac:dyDescent="0.25">
      <c r="A22" s="5" t="s">
        <v>90</v>
      </c>
      <c r="B22" s="5">
        <f>B8</f>
        <v>40</v>
      </c>
      <c r="C22" s="5" t="s">
        <v>26</v>
      </c>
      <c r="D22" s="5" t="s">
        <v>91</v>
      </c>
      <c r="E22" s="161">
        <f>0.85*B22/10/B24</f>
        <v>2.4285714285714288</v>
      </c>
      <c r="F22" s="5" t="s">
        <v>92</v>
      </c>
      <c r="G22" s="160"/>
      <c r="H22" s="5" t="s">
        <v>90</v>
      </c>
      <c r="I22" s="5">
        <f>B22</f>
        <v>40</v>
      </c>
      <c r="J22" s="5" t="s">
        <v>26</v>
      </c>
      <c r="K22" s="5" t="s">
        <v>91</v>
      </c>
      <c r="L22" s="161">
        <f>0.85*I22/10/I24</f>
        <v>2.4285714285714288</v>
      </c>
      <c r="M22" s="5" t="s">
        <v>92</v>
      </c>
    </row>
    <row r="23" spans="1:13" x14ac:dyDescent="0.25">
      <c r="A23" s="5" t="s">
        <v>93</v>
      </c>
      <c r="B23" s="5">
        <f>B9</f>
        <v>50</v>
      </c>
      <c r="C23" s="5" t="s">
        <v>92</v>
      </c>
      <c r="D23" s="5" t="s">
        <v>94</v>
      </c>
      <c r="E23" s="161">
        <f>B23/B25</f>
        <v>43.478260869565219</v>
      </c>
      <c r="F23" s="5" t="s">
        <v>92</v>
      </c>
      <c r="G23" s="160"/>
      <c r="H23" s="5" t="s">
        <v>93</v>
      </c>
      <c r="I23" s="5">
        <f>B23</f>
        <v>50</v>
      </c>
      <c r="J23" s="5" t="s">
        <v>92</v>
      </c>
      <c r="K23" s="5" t="s">
        <v>94</v>
      </c>
      <c r="L23" s="161">
        <f>I23/I25</f>
        <v>43.478260869565219</v>
      </c>
      <c r="M23" s="5" t="s">
        <v>92</v>
      </c>
    </row>
    <row r="24" spans="1:13" x14ac:dyDescent="0.25">
      <c r="A24" s="5" t="s">
        <v>95</v>
      </c>
      <c r="B24" s="5">
        <v>1.4</v>
      </c>
      <c r="C24" s="5"/>
      <c r="D24" s="5" t="s">
        <v>96</v>
      </c>
      <c r="E24" s="5">
        <f>B26*B31*100</f>
        <v>0</v>
      </c>
      <c r="F24" s="5" t="s">
        <v>97</v>
      </c>
      <c r="G24" s="160"/>
      <c r="H24" s="5" t="s">
        <v>95</v>
      </c>
      <c r="I24" s="5">
        <v>1.4</v>
      </c>
      <c r="J24" s="5"/>
      <c r="K24" s="5" t="s">
        <v>96</v>
      </c>
      <c r="L24" s="5">
        <f>I26*I31*100</f>
        <v>1689.8379734780985</v>
      </c>
      <c r="M24" s="5" t="s">
        <v>97</v>
      </c>
    </row>
    <row r="25" spans="1:13" x14ac:dyDescent="0.25">
      <c r="A25" s="5" t="s">
        <v>98</v>
      </c>
      <c r="B25" s="5">
        <v>1.1499999999999999</v>
      </c>
      <c r="C25" s="5"/>
      <c r="D25" s="5" t="s">
        <v>99</v>
      </c>
      <c r="E25" s="162">
        <f>SQRT(E24/E22/B27/B30)</f>
        <v>0</v>
      </c>
      <c r="F25" s="5" t="s">
        <v>100</v>
      </c>
      <c r="G25" s="160"/>
      <c r="H25" s="5" t="s">
        <v>98</v>
      </c>
      <c r="I25" s="5">
        <v>1.1499999999999999</v>
      </c>
      <c r="J25" s="5"/>
      <c r="K25" s="5" t="s">
        <v>99</v>
      </c>
      <c r="L25" s="162">
        <f>SQRT(L24/L22/I27/I30)</f>
        <v>4.3018292624965131</v>
      </c>
      <c r="M25" s="5" t="s">
        <v>100</v>
      </c>
    </row>
    <row r="26" spans="1:13" x14ac:dyDescent="0.25">
      <c r="A26" s="5" t="s">
        <v>101</v>
      </c>
      <c r="B26" s="5">
        <v>1.4</v>
      </c>
      <c r="C26" s="5"/>
      <c r="D26" s="5" t="s">
        <v>102</v>
      </c>
      <c r="E26" s="5">
        <f>B28-B29</f>
        <v>-4.5</v>
      </c>
      <c r="F26" s="5" t="s">
        <v>100</v>
      </c>
      <c r="G26" s="160"/>
      <c r="H26" s="5" t="s">
        <v>101</v>
      </c>
      <c r="I26" s="5">
        <v>1.4</v>
      </c>
      <c r="J26" s="5"/>
      <c r="K26" s="5" t="s">
        <v>102</v>
      </c>
      <c r="L26" s="5">
        <f>I28-I29</f>
        <v>15.5</v>
      </c>
      <c r="M26" s="5" t="s">
        <v>100</v>
      </c>
    </row>
    <row r="27" spans="1:13" x14ac:dyDescent="0.25">
      <c r="A27" s="5" t="s">
        <v>103</v>
      </c>
      <c r="B27" s="5">
        <v>100</v>
      </c>
      <c r="C27" s="5" t="s">
        <v>100</v>
      </c>
      <c r="D27" s="5" t="s">
        <v>104</v>
      </c>
      <c r="E27" s="49">
        <f>E24/E22/B27/E26^2</f>
        <v>0</v>
      </c>
      <c r="F27" s="5"/>
      <c r="G27" s="160"/>
      <c r="H27" s="5" t="s">
        <v>103</v>
      </c>
      <c r="I27" s="5">
        <v>100</v>
      </c>
      <c r="J27" s="5" t="s">
        <v>100</v>
      </c>
      <c r="K27" s="5" t="s">
        <v>104</v>
      </c>
      <c r="L27" s="49">
        <f>L24/L22/I27/L26^2</f>
        <v>2.8962149266931969E-2</v>
      </c>
      <c r="M27" s="5"/>
    </row>
    <row r="28" spans="1:13" x14ac:dyDescent="0.25">
      <c r="A28" s="5" t="s">
        <v>105</v>
      </c>
      <c r="B28" s="161">
        <f>B14</f>
        <v>0</v>
      </c>
      <c r="C28" s="5" t="s">
        <v>100</v>
      </c>
      <c r="D28" s="5" t="s">
        <v>106</v>
      </c>
      <c r="E28" s="49">
        <f>IF(E27&gt;B30,B30,E27)</f>
        <v>0</v>
      </c>
      <c r="F28" s="5"/>
      <c r="G28" s="160"/>
      <c r="H28" s="5" t="s">
        <v>105</v>
      </c>
      <c r="I28" s="161">
        <f>'TQ CILIND.'!G12*100</f>
        <v>20</v>
      </c>
      <c r="J28" s="5" t="s">
        <v>100</v>
      </c>
      <c r="K28" s="5" t="s">
        <v>106</v>
      </c>
      <c r="L28" s="49">
        <f>IF(L27&gt;I30,I30,L27)</f>
        <v>2.8962149266931969E-2</v>
      </c>
      <c r="M28" s="5"/>
    </row>
    <row r="29" spans="1:13" ht="15.75" x14ac:dyDescent="0.3">
      <c r="A29" s="5" t="s">
        <v>107</v>
      </c>
      <c r="B29" s="161">
        <f>B15</f>
        <v>4.5</v>
      </c>
      <c r="C29" s="5"/>
      <c r="D29" s="5" t="s">
        <v>108</v>
      </c>
      <c r="E29" s="161">
        <f>E22*B27*E26/E23*(1-SQRT(1-2*E28))</f>
        <v>0</v>
      </c>
      <c r="F29" s="5" t="s">
        <v>109</v>
      </c>
      <c r="G29" s="160"/>
      <c r="H29" s="5" t="s">
        <v>107</v>
      </c>
      <c r="I29" s="161">
        <f>B15</f>
        <v>4.5</v>
      </c>
      <c r="J29" s="5"/>
      <c r="K29" s="5" t="s">
        <v>108</v>
      </c>
      <c r="L29" s="161">
        <f>L22*I27*L26/L23*(1-SQRT(1-2*L28))</f>
        <v>2.5449041659897791</v>
      </c>
      <c r="M29" s="5" t="s">
        <v>109</v>
      </c>
    </row>
    <row r="30" spans="1:13" ht="15.75" x14ac:dyDescent="0.3">
      <c r="A30" s="5" t="s">
        <v>110</v>
      </c>
      <c r="B30" s="5">
        <v>0.376</v>
      </c>
      <c r="C30" s="5"/>
      <c r="D30" s="5" t="s">
        <v>111</v>
      </c>
      <c r="E30" s="161">
        <f>E22*B27*E26/E23*(E27-E28)/(1-B29/E26)</f>
        <v>0</v>
      </c>
      <c r="F30" s="5" t="s">
        <v>109</v>
      </c>
      <c r="G30" s="160"/>
      <c r="H30" s="5" t="s">
        <v>110</v>
      </c>
      <c r="I30" s="5">
        <v>0.376</v>
      </c>
      <c r="J30" s="5"/>
      <c r="K30" s="5" t="s">
        <v>111</v>
      </c>
      <c r="L30" s="161">
        <f>L22*I27*L26/L23*(L27-L28)/(1-I29/L26)</f>
        <v>0</v>
      </c>
      <c r="M30" s="5" t="s">
        <v>109</v>
      </c>
    </row>
    <row r="31" spans="1:13" x14ac:dyDescent="0.25">
      <c r="A31" s="5" t="s">
        <v>112</v>
      </c>
      <c r="B31" s="161">
        <f>'TQ CILIND.'!G101</f>
        <v>0</v>
      </c>
      <c r="C31" s="5" t="s">
        <v>113</v>
      </c>
      <c r="D31" s="163" t="s">
        <v>114</v>
      </c>
      <c r="E31" s="164">
        <f>E29+E30</f>
        <v>0</v>
      </c>
      <c r="F31" s="163" t="s">
        <v>109</v>
      </c>
      <c r="G31" s="160"/>
      <c r="H31" s="5" t="s">
        <v>112</v>
      </c>
      <c r="I31" s="161">
        <f>'TQ CILIND.'!G125</f>
        <v>12.070271239129275</v>
      </c>
      <c r="J31" s="5" t="s">
        <v>113</v>
      </c>
      <c r="K31" s="163" t="s">
        <v>114</v>
      </c>
      <c r="L31" s="164">
        <f>L29+L30</f>
        <v>2.5449041659897791</v>
      </c>
      <c r="M31" s="163" t="s">
        <v>109</v>
      </c>
    </row>
    <row r="32" spans="1:13" x14ac:dyDescent="0.25">
      <c r="A32" s="5"/>
      <c r="B32" s="5"/>
      <c r="C32" s="5"/>
      <c r="D32" s="163" t="s">
        <v>115</v>
      </c>
      <c r="E32" s="164">
        <f>E30</f>
        <v>0</v>
      </c>
      <c r="F32" s="163" t="s">
        <v>109</v>
      </c>
      <c r="G32" s="160"/>
      <c r="H32" s="5"/>
      <c r="I32" s="5"/>
      <c r="J32" s="5"/>
      <c r="K32" s="163" t="s">
        <v>115</v>
      </c>
      <c r="L32" s="164">
        <f>L30</f>
        <v>0</v>
      </c>
      <c r="M32" s="163" t="s">
        <v>109</v>
      </c>
    </row>
    <row r="33" spans="1:13" x14ac:dyDescent="0.25">
      <c r="A33" s="5"/>
      <c r="B33" s="5"/>
      <c r="C33" s="5"/>
      <c r="D33" s="5"/>
      <c r="E33" s="5"/>
      <c r="F33" s="5"/>
      <c r="G33" s="160"/>
      <c r="H33" s="5"/>
      <c r="I33" s="5"/>
      <c r="J33" s="5"/>
      <c r="K33" s="5"/>
      <c r="L33" s="5"/>
      <c r="M33" s="5"/>
    </row>
    <row r="34" spans="1:13" x14ac:dyDescent="0.25">
      <c r="A34" s="160" t="s">
        <v>142</v>
      </c>
      <c r="B34" s="160"/>
      <c r="C34" s="160"/>
      <c r="D34" s="160"/>
      <c r="E34" s="160"/>
      <c r="F34" s="160"/>
      <c r="G34" s="160"/>
      <c r="H34" s="160" t="s">
        <v>143</v>
      </c>
      <c r="I34" s="160"/>
      <c r="J34" s="160"/>
      <c r="K34" s="160"/>
      <c r="L34" s="160"/>
      <c r="M34" s="160"/>
    </row>
    <row r="35" spans="1:13" x14ac:dyDescent="0.25">
      <c r="A35" s="5"/>
      <c r="B35" s="5"/>
      <c r="C35" s="5"/>
      <c r="D35" s="5"/>
      <c r="E35" s="5"/>
      <c r="F35" s="5"/>
      <c r="G35" s="160"/>
      <c r="H35" s="5"/>
      <c r="I35" s="5"/>
      <c r="J35" s="5"/>
      <c r="K35" s="5"/>
      <c r="L35" s="5"/>
      <c r="M35" s="5"/>
    </row>
    <row r="36" spans="1:13" x14ac:dyDescent="0.25">
      <c r="A36" s="5" t="s">
        <v>90</v>
      </c>
      <c r="B36" s="5">
        <f>B8</f>
        <v>40</v>
      </c>
      <c r="C36" s="5" t="s">
        <v>26</v>
      </c>
      <c r="D36" s="5" t="s">
        <v>91</v>
      </c>
      <c r="E36" s="161">
        <f>0.85*B36/10/B38</f>
        <v>2.4285714285714288</v>
      </c>
      <c r="F36" s="5" t="s">
        <v>92</v>
      </c>
      <c r="G36" s="160"/>
      <c r="H36" s="5" t="s">
        <v>90</v>
      </c>
      <c r="I36" s="5">
        <f>B8</f>
        <v>40</v>
      </c>
      <c r="J36" s="5" t="s">
        <v>26</v>
      </c>
      <c r="K36" s="5" t="s">
        <v>91</v>
      </c>
      <c r="L36" s="161">
        <f>0.85*I36/10/I38</f>
        <v>2.4285714285714288</v>
      </c>
      <c r="M36" s="5" t="s">
        <v>92</v>
      </c>
    </row>
    <row r="37" spans="1:13" x14ac:dyDescent="0.25">
      <c r="A37" s="5" t="s">
        <v>93</v>
      </c>
      <c r="B37" s="5">
        <f>I23</f>
        <v>50</v>
      </c>
      <c r="C37" s="5" t="s">
        <v>92</v>
      </c>
      <c r="D37" s="5" t="s">
        <v>94</v>
      </c>
      <c r="E37" s="161">
        <f>B37/B39</f>
        <v>43.478260869565219</v>
      </c>
      <c r="F37" s="5" t="s">
        <v>92</v>
      </c>
      <c r="G37" s="160"/>
      <c r="H37" s="5" t="s">
        <v>93</v>
      </c>
      <c r="I37" s="5">
        <f>B9</f>
        <v>50</v>
      </c>
      <c r="J37" s="5" t="s">
        <v>92</v>
      </c>
      <c r="K37" s="5" t="s">
        <v>94</v>
      </c>
      <c r="L37" s="161">
        <f>I37/I39</f>
        <v>43.478260869565219</v>
      </c>
      <c r="M37" s="5" t="s">
        <v>92</v>
      </c>
    </row>
    <row r="38" spans="1:13" x14ac:dyDescent="0.25">
      <c r="A38" s="5" t="s">
        <v>95</v>
      </c>
      <c r="B38" s="5">
        <v>1.4</v>
      </c>
      <c r="C38" s="5"/>
      <c r="D38" s="5" t="s">
        <v>96</v>
      </c>
      <c r="E38" s="5">
        <f>B40*B45*100</f>
        <v>2463.6458901528963</v>
      </c>
      <c r="F38" s="5" t="s">
        <v>97</v>
      </c>
      <c r="G38" s="160"/>
      <c r="H38" s="5" t="s">
        <v>95</v>
      </c>
      <c r="I38" s="5">
        <v>1.4</v>
      </c>
      <c r="J38" s="5"/>
      <c r="K38" s="5" t="s">
        <v>96</v>
      </c>
      <c r="L38" s="5">
        <f>I40*I45*100</f>
        <v>492.72917803057925</v>
      </c>
      <c r="M38" s="5" t="s">
        <v>97</v>
      </c>
    </row>
    <row r="39" spans="1:13" x14ac:dyDescent="0.25">
      <c r="A39" s="5" t="s">
        <v>98</v>
      </c>
      <c r="B39" s="5">
        <v>1.1499999999999999</v>
      </c>
      <c r="C39" s="5"/>
      <c r="D39" s="5" t="s">
        <v>99</v>
      </c>
      <c r="E39" s="162">
        <f>SQRT(E38/E36/B41/B44)</f>
        <v>5.1942132934853644</v>
      </c>
      <c r="F39" s="5" t="s">
        <v>100</v>
      </c>
      <c r="G39" s="160"/>
      <c r="H39" s="5" t="s">
        <v>98</v>
      </c>
      <c r="I39" s="5">
        <v>1.1499999999999999</v>
      </c>
      <c r="J39" s="5"/>
      <c r="K39" s="5" t="s">
        <v>99</v>
      </c>
      <c r="L39" s="162">
        <f>SQRT(L38/L36/I41/I44)</f>
        <v>2.322922802773268</v>
      </c>
      <c r="M39" s="5" t="s">
        <v>100</v>
      </c>
    </row>
    <row r="40" spans="1:13" x14ac:dyDescent="0.25">
      <c r="A40" s="5" t="s">
        <v>101</v>
      </c>
      <c r="B40" s="5">
        <v>1.4</v>
      </c>
      <c r="C40" s="5"/>
      <c r="D40" s="5" t="s">
        <v>102</v>
      </c>
      <c r="E40" s="5">
        <f>B42-B43</f>
        <v>15.5</v>
      </c>
      <c r="F40" s="5" t="s">
        <v>100</v>
      </c>
      <c r="G40" s="160"/>
      <c r="H40" s="5" t="s">
        <v>101</v>
      </c>
      <c r="I40" s="5">
        <v>1.4</v>
      </c>
      <c r="J40" s="5"/>
      <c r="K40" s="5" t="s">
        <v>102</v>
      </c>
      <c r="L40" s="5">
        <f>I42-I43</f>
        <v>15.5</v>
      </c>
      <c r="M40" s="5" t="s">
        <v>100</v>
      </c>
    </row>
    <row r="41" spans="1:13" x14ac:dyDescent="0.25">
      <c r="A41" s="5" t="s">
        <v>103</v>
      </c>
      <c r="B41" s="5">
        <v>100</v>
      </c>
      <c r="C41" s="5" t="s">
        <v>100</v>
      </c>
      <c r="D41" s="5" t="s">
        <v>104</v>
      </c>
      <c r="E41" s="49">
        <f>E38/E36/B41/E40^2</f>
        <v>4.2224450587183139E-2</v>
      </c>
      <c r="F41" s="5"/>
      <c r="G41" s="160"/>
      <c r="H41" s="5" t="s">
        <v>103</v>
      </c>
      <c r="I41" s="5">
        <v>100</v>
      </c>
      <c r="J41" s="5" t="s">
        <v>100</v>
      </c>
      <c r="K41" s="5" t="s">
        <v>104</v>
      </c>
      <c r="L41" s="49">
        <f>L38/L36/I41/L40^2</f>
        <v>8.4448901174366282E-3</v>
      </c>
      <c r="M41" s="5"/>
    </row>
    <row r="42" spans="1:13" x14ac:dyDescent="0.25">
      <c r="A42" s="5" t="s">
        <v>105</v>
      </c>
      <c r="B42" s="161">
        <f>'TQ CILIND.'!G13*100</f>
        <v>20</v>
      </c>
      <c r="C42" s="5" t="s">
        <v>100</v>
      </c>
      <c r="D42" s="5" t="s">
        <v>106</v>
      </c>
      <c r="E42" s="49">
        <f>IF(E41&gt;B44,B44,E41)</f>
        <v>4.2224450587183139E-2</v>
      </c>
      <c r="F42" s="5"/>
      <c r="G42" s="160"/>
      <c r="H42" s="5" t="s">
        <v>105</v>
      </c>
      <c r="I42" s="161">
        <f>B42</f>
        <v>20</v>
      </c>
      <c r="J42" s="5" t="s">
        <v>100</v>
      </c>
      <c r="K42" s="5" t="s">
        <v>106</v>
      </c>
      <c r="L42" s="49">
        <f>IF(L41&gt;I44,I44,L41)</f>
        <v>8.4448901174366282E-3</v>
      </c>
      <c r="M42" s="5"/>
    </row>
    <row r="43" spans="1:13" ht="15.75" x14ac:dyDescent="0.3">
      <c r="A43" s="5" t="s">
        <v>107</v>
      </c>
      <c r="B43" s="161">
        <f>I29</f>
        <v>4.5</v>
      </c>
      <c r="C43" s="5"/>
      <c r="D43" s="5" t="s">
        <v>108</v>
      </c>
      <c r="E43" s="161">
        <f>E36*B41*E40/E37*(1-SQRT(1-2*E42))</f>
        <v>3.7363550373611893</v>
      </c>
      <c r="F43" s="5" t="s">
        <v>109</v>
      </c>
      <c r="G43" s="160"/>
      <c r="H43" s="5" t="s">
        <v>107</v>
      </c>
      <c r="I43" s="161">
        <f>I29</f>
        <v>4.5</v>
      </c>
      <c r="J43" s="5" t="s">
        <v>100</v>
      </c>
      <c r="K43" s="5" t="s">
        <v>108</v>
      </c>
      <c r="L43" s="161">
        <f>L36*I41*L40/L37*(1-SQRT(1-2*L42))</f>
        <v>0.73426009805043058</v>
      </c>
      <c r="M43" s="5" t="s">
        <v>109</v>
      </c>
    </row>
    <row r="44" spans="1:13" ht="15.75" x14ac:dyDescent="0.3">
      <c r="A44" s="5" t="s">
        <v>110</v>
      </c>
      <c r="B44" s="5">
        <v>0.376</v>
      </c>
      <c r="C44" s="5"/>
      <c r="D44" s="5" t="s">
        <v>111</v>
      </c>
      <c r="E44" s="161">
        <f>E36*B41*E40/E37*(E41-E42)/(1-B43/E40)</f>
        <v>0</v>
      </c>
      <c r="F44" s="5" t="s">
        <v>109</v>
      </c>
      <c r="G44" s="160"/>
      <c r="H44" s="5" t="s">
        <v>110</v>
      </c>
      <c r="I44" s="5">
        <v>0.376</v>
      </c>
      <c r="J44" s="5"/>
      <c r="K44" s="5" t="s">
        <v>111</v>
      </c>
      <c r="L44" s="161">
        <f>L36*I41*L40/L37*(L41-L42)/(1-I43/L40)</f>
        <v>0</v>
      </c>
      <c r="M44" s="5" t="s">
        <v>109</v>
      </c>
    </row>
    <row r="45" spans="1:13" x14ac:dyDescent="0.25">
      <c r="A45" s="5" t="s">
        <v>112</v>
      </c>
      <c r="B45" s="161">
        <f>'TQ CILIND.'!G128</f>
        <v>17.597470643949261</v>
      </c>
      <c r="C45" s="5" t="s">
        <v>113</v>
      </c>
      <c r="D45" s="163" t="s">
        <v>114</v>
      </c>
      <c r="E45" s="164">
        <f>E43+E44</f>
        <v>3.7363550373611893</v>
      </c>
      <c r="F45" s="163" t="s">
        <v>109</v>
      </c>
      <c r="G45" s="160"/>
      <c r="H45" s="5" t="s">
        <v>112</v>
      </c>
      <c r="I45" s="161">
        <f>'TQ CILIND.'!G131</f>
        <v>3.5194941287898525</v>
      </c>
      <c r="J45" s="5" t="s">
        <v>113</v>
      </c>
      <c r="K45" s="163" t="s">
        <v>114</v>
      </c>
      <c r="L45" s="164">
        <f>L43+L44</f>
        <v>0.73426009805043058</v>
      </c>
      <c r="M45" s="163" t="s">
        <v>109</v>
      </c>
    </row>
    <row r="46" spans="1:13" x14ac:dyDescent="0.25">
      <c r="A46" s="5"/>
      <c r="B46" s="161"/>
      <c r="C46" s="5"/>
      <c r="D46" s="163" t="s">
        <v>115</v>
      </c>
      <c r="E46" s="164">
        <f>E44</f>
        <v>0</v>
      </c>
      <c r="F46" s="163" t="s">
        <v>109</v>
      </c>
      <c r="G46" s="160"/>
      <c r="H46" s="5"/>
      <c r="I46" s="5"/>
      <c r="J46" s="5"/>
      <c r="K46" s="163" t="s">
        <v>115</v>
      </c>
      <c r="L46" s="164">
        <f>L44</f>
        <v>0</v>
      </c>
      <c r="M46" s="163" t="s">
        <v>109</v>
      </c>
    </row>
    <row r="47" spans="1:13" x14ac:dyDescent="0.25">
      <c r="A47" s="5"/>
      <c r="B47" s="161"/>
      <c r="C47" s="5"/>
      <c r="D47" s="163"/>
      <c r="E47" s="164"/>
      <c r="F47" s="163"/>
      <c r="G47" s="160"/>
      <c r="H47" s="5"/>
      <c r="I47" s="5"/>
      <c r="J47" s="5"/>
      <c r="K47" s="163"/>
      <c r="L47" s="164"/>
      <c r="M47" s="163"/>
    </row>
    <row r="48" spans="1:13" x14ac:dyDescent="0.25">
      <c r="A48" s="160"/>
      <c r="B48" s="165"/>
      <c r="C48" s="160"/>
      <c r="D48" s="166"/>
      <c r="E48" s="167"/>
      <c r="F48" s="166"/>
      <c r="G48" s="160"/>
      <c r="H48" s="160"/>
      <c r="I48" s="160"/>
      <c r="J48" s="160"/>
      <c r="K48" s="166"/>
      <c r="L48" s="167"/>
      <c r="M48" s="166"/>
    </row>
    <row r="49" spans="2:13" x14ac:dyDescent="0.25">
      <c r="B49" s="25"/>
      <c r="D49" s="42"/>
      <c r="E49" s="43"/>
      <c r="F49" s="42"/>
      <c r="G49" s="58"/>
      <c r="K49" s="42"/>
      <c r="L49" s="43"/>
      <c r="M49" s="42"/>
    </row>
    <row r="50" spans="2:13" x14ac:dyDescent="0.25">
      <c r="B50" s="25"/>
      <c r="D50" s="42"/>
      <c r="E50" s="43"/>
      <c r="F50" s="42"/>
      <c r="G50" s="58"/>
      <c r="K50" s="42"/>
      <c r="L50" s="43"/>
      <c r="M50" s="42"/>
    </row>
    <row r="51" spans="2:13" x14ac:dyDescent="0.25">
      <c r="B51" s="25"/>
      <c r="D51" s="42"/>
      <c r="E51" s="43"/>
      <c r="F51" s="42"/>
      <c r="G51" s="58"/>
      <c r="K51" s="42"/>
      <c r="L51" s="43"/>
      <c r="M51" s="42"/>
    </row>
    <row r="52" spans="2:13" x14ac:dyDescent="0.25">
      <c r="B52" s="25"/>
      <c r="D52" s="42"/>
      <c r="E52" s="43"/>
      <c r="F52" s="42"/>
      <c r="G52" s="58"/>
      <c r="K52" s="42"/>
      <c r="L52" s="43"/>
      <c r="M52" s="42"/>
    </row>
    <row r="53" spans="2:13" x14ac:dyDescent="0.25">
      <c r="B53" s="25"/>
      <c r="D53" s="42"/>
      <c r="E53" s="43"/>
      <c r="F53" s="42"/>
      <c r="G53" s="58"/>
      <c r="K53" s="42"/>
      <c r="L53" s="43"/>
      <c r="M53" s="42"/>
    </row>
    <row r="54" spans="2:13" x14ac:dyDescent="0.25">
      <c r="B54" s="25"/>
      <c r="D54" s="42"/>
      <c r="E54" s="43"/>
      <c r="F54" s="42"/>
      <c r="G54" s="58"/>
      <c r="K54" s="42"/>
      <c r="L54" s="43"/>
      <c r="M54" s="42"/>
    </row>
    <row r="55" spans="2:13" x14ac:dyDescent="0.25">
      <c r="B55" s="25"/>
      <c r="D55" s="42"/>
      <c r="E55" s="43"/>
      <c r="F55" s="42"/>
      <c r="G55" s="58"/>
      <c r="K55" s="42"/>
      <c r="L55" s="43"/>
      <c r="M55" s="42"/>
    </row>
    <row r="56" spans="2:13" x14ac:dyDescent="0.25">
      <c r="B56" s="25"/>
      <c r="D56" s="42"/>
      <c r="E56" s="43"/>
      <c r="F56" s="42"/>
      <c r="G56" s="58"/>
      <c r="K56" s="42"/>
      <c r="L56" s="43"/>
      <c r="M56" s="42"/>
    </row>
    <row r="57" spans="2:13" x14ac:dyDescent="0.25">
      <c r="B57" s="25"/>
      <c r="D57" s="42"/>
      <c r="E57" s="43"/>
      <c r="F57" s="42"/>
      <c r="G57" s="58"/>
      <c r="K57" s="42"/>
      <c r="L57" s="43"/>
      <c r="M57" s="42"/>
    </row>
    <row r="58" spans="2:13" x14ac:dyDescent="0.25">
      <c r="B58" s="25"/>
      <c r="D58" s="42"/>
      <c r="E58" s="43"/>
      <c r="F58" s="42"/>
      <c r="G58" s="58"/>
      <c r="K58" s="42"/>
      <c r="L58" s="43"/>
      <c r="M58" s="42"/>
    </row>
    <row r="59" spans="2:13" x14ac:dyDescent="0.25">
      <c r="B59" s="25"/>
      <c r="D59" s="42"/>
      <c r="E59" s="43"/>
      <c r="F59" s="42"/>
      <c r="G59" s="58"/>
      <c r="K59" s="42"/>
      <c r="L59" s="43"/>
      <c r="M59" s="42"/>
    </row>
    <row r="60" spans="2:13" x14ac:dyDescent="0.25">
      <c r="B60" s="25"/>
      <c r="D60" s="42"/>
      <c r="E60" s="43"/>
      <c r="F60" s="42"/>
      <c r="G60" s="58"/>
      <c r="K60" s="42"/>
      <c r="L60" s="43"/>
      <c r="M60" s="42"/>
    </row>
    <row r="61" spans="2:13" x14ac:dyDescent="0.25">
      <c r="B61" s="25"/>
      <c r="D61" s="42"/>
      <c r="E61" s="43"/>
      <c r="F61" s="42"/>
      <c r="G61" s="58"/>
      <c r="K61" s="42"/>
      <c r="L61" s="43"/>
      <c r="M61" s="42"/>
    </row>
    <row r="62" spans="2:13" x14ac:dyDescent="0.25">
      <c r="B62" s="25"/>
      <c r="D62" s="42"/>
      <c r="E62" s="43"/>
      <c r="F62" s="42"/>
      <c r="G62" s="58"/>
      <c r="K62" s="42"/>
      <c r="L62" s="43"/>
      <c r="M62" s="42"/>
    </row>
    <row r="63" spans="2:13" x14ac:dyDescent="0.25">
      <c r="B63" s="25"/>
      <c r="D63" s="42"/>
      <c r="E63" s="43"/>
      <c r="F63" s="42"/>
      <c r="G63" s="58"/>
      <c r="K63" s="42"/>
      <c r="L63" s="43"/>
      <c r="M63" s="42"/>
    </row>
    <row r="64" spans="2:13" x14ac:dyDescent="0.25">
      <c r="B64" s="25"/>
      <c r="D64" s="42"/>
      <c r="E64" s="43"/>
      <c r="F64" s="42"/>
      <c r="G64" s="58"/>
      <c r="K64" s="42"/>
      <c r="L64" s="43"/>
      <c r="M64" s="42"/>
    </row>
    <row r="65" spans="2:13" x14ac:dyDescent="0.25">
      <c r="B65" s="25"/>
      <c r="D65" s="42"/>
      <c r="E65" s="43"/>
      <c r="F65" s="42"/>
      <c r="G65" s="58"/>
      <c r="K65" s="42"/>
      <c r="L65" s="43"/>
      <c r="M65" s="42"/>
    </row>
    <row r="66" spans="2:13" x14ac:dyDescent="0.25">
      <c r="B66" s="25"/>
      <c r="D66" s="42"/>
      <c r="E66" s="43"/>
      <c r="F66" s="42"/>
      <c r="G66" s="58"/>
      <c r="K66" s="42"/>
      <c r="L66" s="43"/>
      <c r="M66" s="42"/>
    </row>
    <row r="67" spans="2:13" x14ac:dyDescent="0.25">
      <c r="B67" s="25"/>
      <c r="D67" s="42"/>
      <c r="E67" s="43"/>
      <c r="F67" s="42"/>
      <c r="G67" s="58"/>
      <c r="K67" s="42"/>
      <c r="L67" s="43"/>
      <c r="M67" s="42"/>
    </row>
  </sheetData>
  <pageMargins left="0.9055118110236221" right="0.51181102362204722" top="0.78740157480314965" bottom="0.78740157480314965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EQ 3 GRAU</vt:lpstr>
      <vt:lpstr>TQ CILIND.</vt:lpstr>
      <vt:lpstr>ARMAÇÃO</vt:lpstr>
      <vt:lpstr>ARMAÇÃO!Area_de_impressao</vt:lpstr>
      <vt:lpstr>'EQ 3 GRAU'!Area_de_impressao</vt:lpstr>
      <vt:lpstr>'TQ CILIND.'!Area_de_impressao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II</dc:creator>
  <cp:lastModifiedBy>Usuário do Windows</cp:lastModifiedBy>
  <cp:lastPrinted>2017-09-20T18:16:33Z</cp:lastPrinted>
  <dcterms:created xsi:type="dcterms:W3CDTF">2012-01-10T23:59:19Z</dcterms:created>
  <dcterms:modified xsi:type="dcterms:W3CDTF">2017-09-20T18:20:54Z</dcterms:modified>
</cp:coreProperties>
</file>