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1840" windowHeight="12075"/>
  </bookViews>
  <sheets>
    <sheet name="Plan1" sheetId="1" r:id="rId1"/>
    <sheet name="Plan2" sheetId="2" r:id="rId2"/>
    <sheet name="Plan3" sheetId="3" r:id="rId3"/>
  </sheets>
  <externalReferences>
    <externalReference r:id="rId4"/>
  </externalReferences>
  <definedNames>
    <definedName name="_xlnm.Print_Area" localSheetId="0">Plan1!$A$1:$AI$82</definedName>
    <definedName name="_xlnm.Print_Area" localSheetId="1">Plan2!$A$1:$M$87</definedName>
  </definedNames>
  <calcPr calcId="144525"/>
</workbook>
</file>

<file path=xl/calcChain.xml><?xml version="1.0" encoding="utf-8"?>
<calcChain xmlns="http://schemas.openxmlformats.org/spreadsheetml/2006/main">
  <c r="B84" i="2" l="1"/>
  <c r="I60" i="2"/>
  <c r="B60" i="2"/>
  <c r="I41" i="2"/>
  <c r="B78" i="2"/>
  <c r="E71" i="2" s="1"/>
  <c r="I54" i="2"/>
  <c r="L47" i="2" s="1"/>
  <c r="B54" i="2"/>
  <c r="E47" i="2" s="1"/>
  <c r="I35" i="2"/>
  <c r="L28" i="2" s="1"/>
  <c r="B76" i="2"/>
  <c r="B81" i="2"/>
  <c r="E73" i="2"/>
  <c r="B57" i="2"/>
  <c r="I52" i="2"/>
  <c r="I38" i="2"/>
  <c r="M81" i="1"/>
  <c r="M80" i="1"/>
  <c r="M79" i="1"/>
  <c r="M78" i="1"/>
  <c r="B41" i="2"/>
  <c r="I21" i="2"/>
  <c r="B21" i="2"/>
  <c r="B35" i="2"/>
  <c r="E28" i="2" s="1"/>
  <c r="I15" i="2"/>
  <c r="L8" i="2" s="1"/>
  <c r="B15" i="2"/>
  <c r="E8" i="2" s="1"/>
  <c r="AZ33" i="1"/>
  <c r="B42" i="2"/>
  <c r="B61" i="2" s="1"/>
  <c r="E38" i="2"/>
  <c r="L38" i="2" s="1"/>
  <c r="B33" i="2"/>
  <c r="I33" i="2" s="1"/>
  <c r="L30" i="2" s="1"/>
  <c r="B32" i="2"/>
  <c r="B38" i="2" s="1"/>
  <c r="I22" i="2"/>
  <c r="B22" i="2"/>
  <c r="L18" i="2"/>
  <c r="E18" i="2"/>
  <c r="I13" i="2"/>
  <c r="B12" i="2"/>
  <c r="B18" i="2" s="1"/>
  <c r="B7" i="2"/>
  <c r="B46" i="2" s="1"/>
  <c r="I46" i="2" s="1"/>
  <c r="L46" i="2" s="1"/>
  <c r="B6" i="2"/>
  <c r="I6" i="2" s="1"/>
  <c r="L6" i="2" s="1"/>
  <c r="I42" i="2" l="1"/>
  <c r="B85" i="2"/>
  <c r="I61" i="2"/>
  <c r="E30" i="2"/>
  <c r="E57" i="2"/>
  <c r="L49" i="2"/>
  <c r="I57" i="2"/>
  <c r="B70" i="2"/>
  <c r="E46" i="2"/>
  <c r="E49" i="2"/>
  <c r="B26" i="2"/>
  <c r="E6" i="2"/>
  <c r="E9" i="2" s="1"/>
  <c r="E7" i="2"/>
  <c r="E19" i="2" s="1"/>
  <c r="L9" i="2"/>
  <c r="I7" i="2"/>
  <c r="L7" i="2" s="1"/>
  <c r="L19" i="2" s="1"/>
  <c r="E10" i="2"/>
  <c r="I12" i="2"/>
  <c r="B27" i="2"/>
  <c r="AO172" i="1"/>
  <c r="E26" i="2" l="1"/>
  <c r="B45" i="2"/>
  <c r="I26" i="2"/>
  <c r="L26" i="2" s="1"/>
  <c r="E81" i="2"/>
  <c r="L57" i="2"/>
  <c r="L58" i="2" s="1"/>
  <c r="E27" i="2"/>
  <c r="E39" i="2" s="1"/>
  <c r="E41" i="2" s="1"/>
  <c r="I27" i="2"/>
  <c r="L27" i="2" s="1"/>
  <c r="L39" i="2" s="1"/>
  <c r="E58" i="2"/>
  <c r="E60" i="2" s="1"/>
  <c r="E70" i="2"/>
  <c r="E21" i="2"/>
  <c r="L10" i="2"/>
  <c r="I18" i="2"/>
  <c r="L21" i="2"/>
  <c r="E11" i="2"/>
  <c r="E12" i="2" s="1"/>
  <c r="E13" i="2" s="1"/>
  <c r="AO187" i="1"/>
  <c r="AO188" i="1"/>
  <c r="AO189" i="1" s="1"/>
  <c r="AO196" i="1"/>
  <c r="AR187" i="1"/>
  <c r="E82" i="2" l="1"/>
  <c r="L41" i="2"/>
  <c r="L31" i="2"/>
  <c r="L29" i="2"/>
  <c r="I45" i="2"/>
  <c r="L45" i="2" s="1"/>
  <c r="B69" i="2"/>
  <c r="E69" i="2" s="1"/>
  <c r="E45" i="2"/>
  <c r="E29" i="2"/>
  <c r="E31" i="2"/>
  <c r="L11" i="2"/>
  <c r="L12" i="2" s="1"/>
  <c r="L13" i="2" s="1"/>
  <c r="E14" i="2"/>
  <c r="E16" i="2" s="1"/>
  <c r="AO195" i="1"/>
  <c r="AO198" i="1" s="1"/>
  <c r="AO192" i="1"/>
  <c r="AO193" i="1" s="1"/>
  <c r="AR189" i="1"/>
  <c r="AO173" i="1"/>
  <c r="AO174" i="1" s="1"/>
  <c r="AO158" i="1"/>
  <c r="AO159" i="1" s="1"/>
  <c r="AO181" i="1"/>
  <c r="AR172" i="1"/>
  <c r="AR157" i="1"/>
  <c r="AO157" i="1"/>
  <c r="AO166" i="1"/>
  <c r="E48" i="2" l="1"/>
  <c r="E50" i="2"/>
  <c r="E51" i="2" s="1"/>
  <c r="E53" i="2" s="1"/>
  <c r="E55" i="2" s="1"/>
  <c r="E74" i="2"/>
  <c r="E75" i="2" s="1"/>
  <c r="E76" i="2" s="1"/>
  <c r="E72" i="2"/>
  <c r="L48" i="2"/>
  <c r="L50" i="2"/>
  <c r="L51" i="2" s="1"/>
  <c r="L52" i="2" s="1"/>
  <c r="E32" i="2"/>
  <c r="E33" i="2" s="1"/>
  <c r="L32" i="2"/>
  <c r="L33" i="2" s="1"/>
  <c r="E84" i="2"/>
  <c r="L60" i="2"/>
  <c r="L14" i="2"/>
  <c r="L16" i="2" s="1"/>
  <c r="E15" i="2"/>
  <c r="B19" i="2" s="1"/>
  <c r="E20" i="2" s="1"/>
  <c r="E22" i="2" s="1"/>
  <c r="E23" i="2" s="1"/>
  <c r="V30" i="1" s="1"/>
  <c r="AF30" i="1" s="1"/>
  <c r="AO177" i="1"/>
  <c r="AO178" i="1" s="1"/>
  <c r="AO180" i="1"/>
  <c r="AO183" i="1" s="1"/>
  <c r="AR174" i="1"/>
  <c r="AO165" i="1"/>
  <c r="AO168" i="1" s="1"/>
  <c r="AO162" i="1"/>
  <c r="AO163" i="1" s="1"/>
  <c r="AR159" i="1"/>
  <c r="AO140" i="1"/>
  <c r="L53" i="2" l="1"/>
  <c r="L55" i="2" s="1"/>
  <c r="L34" i="2"/>
  <c r="L36" i="2" s="1"/>
  <c r="E52" i="2"/>
  <c r="E54" i="2" s="1"/>
  <c r="B58" i="2" s="1"/>
  <c r="E59" i="2" s="1"/>
  <c r="E61" i="2" s="1"/>
  <c r="E62" i="2" s="1"/>
  <c r="V79" i="1" s="1"/>
  <c r="AD79" i="1" s="1"/>
  <c r="L54" i="2"/>
  <c r="I58" i="2" s="1"/>
  <c r="L59" i="2" s="1"/>
  <c r="L61" i="2" s="1"/>
  <c r="L62" i="2" s="1"/>
  <c r="V80" i="1" s="1"/>
  <c r="AD80" i="1" s="1"/>
  <c r="E34" i="2"/>
  <c r="E36" i="2" s="1"/>
  <c r="E77" i="2"/>
  <c r="E79" i="2" s="1"/>
  <c r="L15" i="2"/>
  <c r="I19" i="2" s="1"/>
  <c r="L20" i="2" s="1"/>
  <c r="L22" i="2" s="1"/>
  <c r="L23" i="2" s="1"/>
  <c r="V31" i="1" s="1"/>
  <c r="AF31" i="1" s="1"/>
  <c r="AO141" i="1"/>
  <c r="AO143" i="1" s="1"/>
  <c r="AR143" i="1" s="1"/>
  <c r="AO150" i="1"/>
  <c r="L35" i="2" l="1"/>
  <c r="I39" i="2" s="1"/>
  <c r="L40" i="2" s="1"/>
  <c r="L42" i="2" s="1"/>
  <c r="L43" i="2" s="1"/>
  <c r="V78" i="1" s="1"/>
  <c r="AD78" i="1" s="1"/>
  <c r="E35" i="2"/>
  <c r="B39" i="2" s="1"/>
  <c r="E40" i="2" s="1"/>
  <c r="E42" i="2" s="1"/>
  <c r="E43" i="2" s="1"/>
  <c r="V32" i="1" s="1"/>
  <c r="AF32" i="1" s="1"/>
  <c r="E78" i="2"/>
  <c r="B82" i="2" s="1"/>
  <c r="E83" i="2" s="1"/>
  <c r="E85" i="2" s="1"/>
  <c r="E86" i="2" s="1"/>
  <c r="V81" i="1" s="1"/>
  <c r="AD81" i="1" s="1"/>
  <c r="AO149" i="1"/>
  <c r="AO152" i="1" s="1"/>
  <c r="AO146" i="1"/>
  <c r="AO147" i="1" s="1"/>
  <c r="O50" i="1"/>
  <c r="AA50" i="1" s="1"/>
  <c r="W38" i="1"/>
  <c r="R23" i="1"/>
  <c r="R25" i="1" s="1"/>
  <c r="N32" i="1" s="1"/>
  <c r="N37" i="1" l="1"/>
  <c r="Q13" i="1" s="1"/>
  <c r="N35" i="1"/>
  <c r="J18" i="1" s="1"/>
  <c r="J65" i="1"/>
  <c r="J70" i="1" s="1"/>
  <c r="S13" i="1"/>
  <c r="J10" i="1"/>
  <c r="J46" i="1"/>
  <c r="N36" i="1"/>
  <c r="J54" i="1" s="1"/>
  <c r="N30" i="1"/>
  <c r="N31" i="1"/>
  <c r="V46" i="1" l="1"/>
  <c r="C70" i="1"/>
  <c r="O70" i="1" s="1"/>
  <c r="J59" i="1"/>
  <c r="C59" i="1"/>
  <c r="AE13" i="1"/>
  <c r="E13" i="1"/>
  <c r="X18" i="1"/>
  <c r="X10" i="1"/>
  <c r="AB74" i="1" l="1"/>
  <c r="E74" i="1"/>
  <c r="O59" i="1"/>
  <c r="R74" i="1"/>
  <c r="R72" i="1"/>
  <c r="AB72" i="1" l="1"/>
  <c r="E72" i="1"/>
</calcChain>
</file>

<file path=xl/sharedStrings.xml><?xml version="1.0" encoding="utf-8"?>
<sst xmlns="http://schemas.openxmlformats.org/spreadsheetml/2006/main" count="495" uniqueCount="115">
  <si>
    <t>Peso prório</t>
  </si>
  <si>
    <t>x</t>
  </si>
  <si>
    <t>=</t>
  </si>
  <si>
    <t>kN/m²</t>
  </si>
  <si>
    <t>Sobrecarga</t>
  </si>
  <si>
    <t>Total</t>
  </si>
  <si>
    <t>Tabela de Bares</t>
  </si>
  <si>
    <t>λ =</t>
  </si>
  <si>
    <t>μx =</t>
  </si>
  <si>
    <t>μy =</t>
  </si>
  <si>
    <t>μ'y =</t>
  </si>
  <si>
    <t>Mx =</t>
  </si>
  <si>
    <t>My =</t>
  </si>
  <si>
    <t>Xy =</t>
  </si>
  <si>
    <t>kN.m/m</t>
  </si>
  <si>
    <t>Ly</t>
  </si>
  <si>
    <t>Lx</t>
  </si>
  <si>
    <t>momentos fletores</t>
  </si>
  <si>
    <t>reações de apoio</t>
  </si>
  <si>
    <t>Vx =</t>
  </si>
  <si>
    <t>Vy =</t>
  </si>
  <si>
    <t>V'y =</t>
  </si>
  <si>
    <t>vx =</t>
  </si>
  <si>
    <t>vy =</t>
  </si>
  <si>
    <t>v'y =</t>
  </si>
  <si>
    <t>L1</t>
  </si>
  <si>
    <t>L2</t>
  </si>
  <si>
    <t>kN</t>
  </si>
  <si>
    <t>TRATAMENTO PRELIMINAR</t>
  </si>
  <si>
    <t>Carregamento das lajes</t>
  </si>
  <si>
    <t>L1 = L2</t>
  </si>
  <si>
    <t>2A</t>
  </si>
  <si>
    <t>y</t>
  </si>
  <si>
    <t>VI = V2</t>
  </si>
  <si>
    <t>V3 = V5</t>
  </si>
  <si>
    <t>4/6</t>
  </si>
  <si>
    <t>1/3</t>
  </si>
  <si>
    <t>V4</t>
  </si>
  <si>
    <t>25/50</t>
  </si>
  <si>
    <t>25/40</t>
  </si>
  <si>
    <t>P1 =</t>
  </si>
  <si>
    <t>P2 =</t>
  </si>
  <si>
    <t>P3 =</t>
  </si>
  <si>
    <t>P4 =</t>
  </si>
  <si>
    <t>P5 =</t>
  </si>
  <si>
    <t>P6 =</t>
  </si>
  <si>
    <t>Filtro</t>
  </si>
  <si>
    <t>PP =</t>
  </si>
  <si>
    <t>brita</t>
  </si>
  <si>
    <t>t</t>
  </si>
  <si>
    <t>kg/cm²</t>
  </si>
  <si>
    <t>água</t>
  </si>
  <si>
    <t>Reator</t>
  </si>
  <si>
    <t>decantador</t>
  </si>
  <si>
    <t>Recirculação</t>
  </si>
  <si>
    <t>SISTEMA DE ESGOTOS DE POTIM</t>
  </si>
  <si>
    <t>POTIM - SP</t>
  </si>
  <si>
    <t>CÁLCULO ESTRUTURAL</t>
  </si>
  <si>
    <t>ELEVATÓRIA DE ESGOTOS - EE-01</t>
  </si>
  <si>
    <t xml:space="preserve"> LAJE DE TAMPA - ARMAÇÃO DIREÇÃO "X" POSITIVO</t>
  </si>
  <si>
    <t xml:space="preserve"> LAJE DE TAMPA - ARMAÇÃO DIREÇÃO "Y" POSITIVO</t>
  </si>
  <si>
    <t>fck</t>
  </si>
  <si>
    <t>Mpa</t>
  </si>
  <si>
    <t>fc</t>
  </si>
  <si>
    <t>KN/cm²</t>
  </si>
  <si>
    <t>fyk</t>
  </si>
  <si>
    <t>fyd</t>
  </si>
  <si>
    <t>yc</t>
  </si>
  <si>
    <t>Md</t>
  </si>
  <si>
    <t>KNxcm</t>
  </si>
  <si>
    <t>ya</t>
  </si>
  <si>
    <t>DL</t>
  </si>
  <si>
    <t>cm</t>
  </si>
  <si>
    <t>yf</t>
  </si>
  <si>
    <t xml:space="preserve">D </t>
  </si>
  <si>
    <t>b</t>
  </si>
  <si>
    <t>k</t>
  </si>
  <si>
    <t>h</t>
  </si>
  <si>
    <t>k'</t>
  </si>
  <si>
    <t>d'</t>
  </si>
  <si>
    <r>
      <t>A</t>
    </r>
    <r>
      <rPr>
        <vertAlign val="subscript"/>
        <sz val="10"/>
        <rFont val="Arial"/>
        <family val="2"/>
      </rPr>
      <t>S1</t>
    </r>
  </si>
  <si>
    <t>cm²</t>
  </si>
  <si>
    <t>KL</t>
  </si>
  <si>
    <r>
      <t>A</t>
    </r>
    <r>
      <rPr>
        <vertAlign val="subscript"/>
        <sz val="10"/>
        <rFont val="Arial"/>
        <family val="2"/>
      </rPr>
      <t>S2</t>
    </r>
  </si>
  <si>
    <t>Mmáx</t>
  </si>
  <si>
    <t>KNxm</t>
  </si>
  <si>
    <r>
      <t>A</t>
    </r>
    <r>
      <rPr>
        <b/>
        <vertAlign val="subscript"/>
        <sz val="10"/>
        <rFont val="Arial"/>
        <family val="2"/>
      </rPr>
      <t>S</t>
    </r>
  </si>
  <si>
    <r>
      <t>A'</t>
    </r>
    <r>
      <rPr>
        <b/>
        <vertAlign val="subscript"/>
        <sz val="10"/>
        <rFont val="Arial"/>
        <family val="2"/>
      </rPr>
      <t>S</t>
    </r>
  </si>
  <si>
    <t>Verificação da fissuração</t>
  </si>
  <si>
    <t>Acr =</t>
  </si>
  <si>
    <t>wk =</t>
  </si>
  <si>
    <t>mm</t>
  </si>
  <si>
    <t>Rô calc =</t>
  </si>
  <si>
    <t>aw =</t>
  </si>
  <si>
    <t>nb =</t>
  </si>
  <si>
    <t>cf1 =</t>
  </si>
  <si>
    <t>Ø =</t>
  </si>
  <si>
    <t>cf2 =</t>
  </si>
  <si>
    <t>Es =</t>
  </si>
  <si>
    <t>kN/cm²</t>
  </si>
  <si>
    <t>cf =</t>
  </si>
  <si>
    <r>
      <t>cf.A</t>
    </r>
    <r>
      <rPr>
        <b/>
        <vertAlign val="subscript"/>
        <sz val="11"/>
        <color theme="1"/>
        <rFont val="Calibri"/>
        <family val="2"/>
        <scheme val="minor"/>
      </rPr>
      <t xml:space="preserve">s </t>
    </r>
    <r>
      <rPr>
        <b/>
        <sz val="11"/>
        <color theme="1"/>
        <rFont val="Calibri"/>
        <family val="2"/>
        <scheme val="minor"/>
      </rPr>
      <t>=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</si>
  <si>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</si>
  <si>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LAJE DE FUNDO - ARMAÇÃO DIREÇÃO "X" POSITIVO</t>
  </si>
  <si>
    <t>cm/m</t>
  </si>
  <si>
    <t>Ø</t>
  </si>
  <si>
    <t>a cada</t>
  </si>
  <si>
    <t>D =</t>
  </si>
  <si>
    <t>As =</t>
  </si>
  <si>
    <t>a/c</t>
  </si>
  <si>
    <t>X =</t>
  </si>
  <si>
    <t>M1 =</t>
  </si>
  <si>
    <t>M2 =</t>
  </si>
  <si>
    <t>M3 =</t>
  </si>
  <si>
    <t>barras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</si>
</sst>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/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 diagonalDown="1">
      <left/>
      <right/>
      <top/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/>
      <right/>
      <top/>
      <bottom/>
      <diagonal style="thin">
        <color auto="1"/>
      </diagonal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6" xfId="0" applyBorder="1"/>
    <xf numFmtId="0" fontId="0" fillId="2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5" xfId="0" applyFill="1" applyBorder="1"/>
    <xf numFmtId="0" fontId="0" fillId="4" borderId="16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7" xfId="0" applyFill="1" applyBorder="1"/>
    <xf numFmtId="0" fontId="0" fillId="4" borderId="20" xfId="0" applyFill="1" applyBorder="1"/>
    <xf numFmtId="164" fontId="0" fillId="0" borderId="0" xfId="0" applyNumberFormat="1"/>
    <xf numFmtId="0" fontId="0" fillId="0" borderId="14" xfId="0" applyBorder="1"/>
    <xf numFmtId="0" fontId="0" fillId="0" borderId="0" xfId="0" applyBorder="1" applyAlignment="1"/>
    <xf numFmtId="0" fontId="0" fillId="0" borderId="12" xfId="0" applyFill="1" applyBorder="1"/>
    <xf numFmtId="1" fontId="0" fillId="0" borderId="0" xfId="0" applyNumberFormat="1"/>
    <xf numFmtId="0" fontId="0" fillId="0" borderId="0" xfId="0" applyBorder="1" applyAlignment="1">
      <alignment horizontal="center"/>
    </xf>
    <xf numFmtId="0" fontId="0" fillId="3" borderId="0" xfId="0" applyFill="1"/>
    <xf numFmtId="0" fontId="0" fillId="4" borderId="0" xfId="0" applyFill="1"/>
    <xf numFmtId="2" fontId="0" fillId="0" borderId="0" xfId="0" applyNumberFormat="1"/>
    <xf numFmtId="165" fontId="0" fillId="0" borderId="0" xfId="0" applyNumberFormat="1"/>
    <xf numFmtId="0" fontId="4" fillId="0" borderId="0" xfId="0" applyFont="1"/>
    <xf numFmtId="2" fontId="4" fillId="0" borderId="0" xfId="0" applyNumberFormat="1" applyFont="1"/>
    <xf numFmtId="0" fontId="4" fillId="0" borderId="0" xfId="0" applyFont="1" applyFill="1"/>
    <xf numFmtId="2" fontId="4" fillId="0" borderId="0" xfId="0" applyNumberFormat="1" applyFont="1" applyFill="1"/>
    <xf numFmtId="166" fontId="0" fillId="0" borderId="0" xfId="0" applyNumberFormat="1" applyBorder="1"/>
    <xf numFmtId="0" fontId="0" fillId="0" borderId="0" xfId="0" applyFill="1" applyBorder="1"/>
    <xf numFmtId="2" fontId="0" fillId="0" borderId="0" xfId="0" applyNumberFormat="1" applyBorder="1"/>
    <xf numFmtId="0" fontId="1" fillId="0" borderId="0" xfId="0" applyFont="1" applyBorder="1"/>
    <xf numFmtId="2" fontId="1" fillId="0" borderId="0" xfId="0" applyNumberFormat="1" applyFont="1" applyBorder="1"/>
    <xf numFmtId="0" fontId="1" fillId="3" borderId="0" xfId="0" applyFont="1" applyFill="1" applyBorder="1"/>
    <xf numFmtId="2" fontId="1" fillId="3" borderId="0" xfId="0" applyNumberFormat="1" applyFont="1" applyFill="1" applyBorder="1"/>
    <xf numFmtId="0" fontId="0" fillId="3" borderId="0" xfId="0" quotePrefix="1" applyFill="1"/>
    <xf numFmtId="0" fontId="2" fillId="3" borderId="0" xfId="0" applyFont="1" applyFill="1" applyAlignment="1">
      <alignment horizontal="center"/>
    </xf>
    <xf numFmtId="164" fontId="0" fillId="3" borderId="0" xfId="0" applyNumberFormat="1" applyFill="1"/>
    <xf numFmtId="0" fontId="0" fillId="3" borderId="0" xfId="0" applyFill="1" applyAlignment="1">
      <alignment horizontal="center"/>
    </xf>
    <xf numFmtId="0" fontId="0" fillId="3" borderId="0" xfId="0" applyFill="1" applyBorder="1"/>
    <xf numFmtId="2" fontId="0" fillId="0" borderId="0" xfId="0" applyNumberFormat="1" applyBorder="1" applyAlignment="1"/>
    <xf numFmtId="0" fontId="0" fillId="0" borderId="4" xfId="0" applyBorder="1"/>
    <xf numFmtId="2" fontId="0" fillId="0" borderId="0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5" xfId="0" applyBorder="1"/>
    <xf numFmtId="0" fontId="0" fillId="0" borderId="25" xfId="0" applyBorder="1"/>
    <xf numFmtId="0" fontId="0" fillId="0" borderId="26" xfId="0" applyBorder="1"/>
    <xf numFmtId="0" fontId="2" fillId="0" borderId="0" xfId="0" applyFont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6" fontId="0" fillId="0" borderId="0" xfId="0" applyNumberFormat="1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0" fontId="1" fillId="0" borderId="0" xfId="0" applyFont="1" applyFill="1" applyBorder="1"/>
    <xf numFmtId="2" fontId="1" fillId="0" borderId="0" xfId="0" applyNumberFormat="1" applyFont="1" applyFill="1" applyBorder="1"/>
    <xf numFmtId="0" fontId="0" fillId="4" borderId="0" xfId="0" applyFill="1" applyBorder="1"/>
    <xf numFmtId="0" fontId="1" fillId="4" borderId="0" xfId="0" applyFont="1" applyFill="1" applyBorder="1"/>
    <xf numFmtId="2" fontId="1" fillId="4" borderId="0" xfId="0" applyNumberFormat="1" applyFont="1" applyFill="1" applyBorder="1"/>
    <xf numFmtId="2" fontId="0" fillId="0" borderId="0" xfId="0" applyNumberFormat="1" applyBorder="1" applyAlignment="1">
      <alignment horizontal="center"/>
    </xf>
    <xf numFmtId="1" fontId="0" fillId="0" borderId="14" xfId="0" quotePrefix="1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" xfId="0" applyNumberFormat="1" applyBorder="1" applyAlignment="1">
      <alignment horizontal="center" vertical="center" textRotation="90"/>
    </xf>
    <xf numFmtId="2" fontId="0" fillId="0" borderId="6" xfId="0" applyNumberFormat="1" applyBorder="1" applyAlignment="1">
      <alignment horizontal="center" vertical="center" textRotation="90"/>
    </xf>
    <xf numFmtId="2" fontId="0" fillId="0" borderId="5" xfId="0" applyNumberFormat="1" applyBorder="1" applyAlignment="1">
      <alignment horizontal="center"/>
    </xf>
    <xf numFmtId="2" fontId="0" fillId="0" borderId="0" xfId="0" applyNumberFormat="1" applyBorder="1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2" fontId="0" fillId="0" borderId="19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" fontId="0" fillId="0" borderId="0" xfId="0" quotePrefix="1" applyNumberFormat="1" applyBorder="1" applyAlignment="1">
      <alignment horizontal="center"/>
    </xf>
    <xf numFmtId="16" fontId="0" fillId="0" borderId="0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7" xfId="0" quotePrefix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-Estrutural-Elevat&#243;ria%2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. PRISMÁTICO"/>
      <sheetName val="ARMAÇÃO"/>
    </sheetNames>
    <sheetDataSet>
      <sheetData sheetId="0">
        <row r="8">
          <cell r="M8">
            <v>40</v>
          </cell>
        </row>
        <row r="9">
          <cell r="M9">
            <v>500</v>
          </cell>
        </row>
        <row r="12">
          <cell r="M12">
            <v>210</v>
          </cell>
        </row>
        <row r="17">
          <cell r="M17">
            <v>0.125</v>
          </cell>
        </row>
        <row r="24">
          <cell r="K24">
            <v>0.2</v>
          </cell>
        </row>
        <row r="25">
          <cell r="K25">
            <v>0.2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8"/>
  <sheetViews>
    <sheetView tabSelected="1" zoomScaleNormal="100" workbookViewId="0">
      <selection activeCell="AN14" sqref="AN14"/>
    </sheetView>
  </sheetViews>
  <sheetFormatPr defaultRowHeight="15" x14ac:dyDescent="0.25"/>
  <cols>
    <col min="1" max="35" width="2.7109375" customWidth="1"/>
    <col min="36" max="38" width="3.7109375" customWidth="1"/>
    <col min="42" max="42" width="4.5703125" customWidth="1"/>
  </cols>
  <sheetData>
    <row r="1" spans="1:3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25">
      <c r="A2" s="51"/>
      <c r="B2" s="45" t="s">
        <v>55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</row>
    <row r="3" spans="1:35" x14ac:dyDescent="0.25">
      <c r="A3" s="51"/>
      <c r="B3" s="45" t="s">
        <v>56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</row>
    <row r="4" spans="1:35" x14ac:dyDescent="0.25">
      <c r="A4" s="51"/>
      <c r="B4" s="45" t="s">
        <v>57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35" x14ac:dyDescent="0.25">
      <c r="A5" s="51"/>
      <c r="B5" s="45" t="s">
        <v>58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</row>
    <row r="6" spans="1:3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x14ac:dyDescent="0.25">
      <c r="A7" s="3"/>
      <c r="B7" s="3" t="s">
        <v>28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 thickBot="1" x14ac:dyDescent="0.3">
      <c r="A8" s="3"/>
      <c r="B8" s="3"/>
      <c r="C8" s="3"/>
      <c r="D8" s="3">
        <v>1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>
        <v>3</v>
      </c>
      <c r="AG8" s="2"/>
      <c r="AH8" s="82">
        <v>0.25</v>
      </c>
      <c r="AI8" s="3"/>
    </row>
    <row r="9" spans="1:35" ht="15.75" thickBot="1" x14ac:dyDescent="0.3">
      <c r="A9" s="3"/>
      <c r="B9" s="3"/>
      <c r="C9" s="3"/>
      <c r="D9" s="21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20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24"/>
      <c r="AG9" s="2"/>
      <c r="AH9" s="82"/>
      <c r="AI9" s="3"/>
    </row>
    <row r="10" spans="1:35" x14ac:dyDescent="0.25">
      <c r="A10" s="3"/>
      <c r="B10" s="3"/>
      <c r="C10" s="3"/>
      <c r="D10" s="1"/>
      <c r="E10" s="15"/>
      <c r="F10" s="5"/>
      <c r="G10" s="5"/>
      <c r="H10" s="5"/>
      <c r="I10" s="5"/>
      <c r="J10" s="81">
        <f>N35</f>
        <v>18.4375</v>
      </c>
      <c r="K10" s="81"/>
      <c r="L10" s="81"/>
      <c r="M10" s="5"/>
      <c r="N10" s="5"/>
      <c r="O10" s="5"/>
      <c r="P10" s="5"/>
      <c r="Q10" s="16"/>
      <c r="R10" s="5"/>
      <c r="S10" s="15"/>
      <c r="T10" s="5"/>
      <c r="U10" s="5"/>
      <c r="V10" s="5"/>
      <c r="W10" s="5"/>
      <c r="X10" s="81">
        <f>J10</f>
        <v>18.4375</v>
      </c>
      <c r="Y10" s="81"/>
      <c r="Z10" s="81"/>
      <c r="AA10" s="5"/>
      <c r="AB10" s="5"/>
      <c r="AC10" s="5"/>
      <c r="AD10" s="5"/>
      <c r="AE10" s="16"/>
      <c r="AF10" s="13"/>
      <c r="AG10" s="2"/>
      <c r="AH10" s="82"/>
      <c r="AI10" s="3"/>
    </row>
    <row r="11" spans="1:35" x14ac:dyDescent="0.25">
      <c r="A11" s="3"/>
      <c r="B11" s="3"/>
      <c r="C11" s="3"/>
      <c r="D11" s="1"/>
      <c r="E11" s="1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13"/>
      <c r="R11" s="3"/>
      <c r="S11" s="1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3"/>
      <c r="AF11" s="13"/>
      <c r="AG11" s="3"/>
      <c r="AH11" s="3"/>
      <c r="AI11" s="3"/>
    </row>
    <row r="12" spans="1:35" x14ac:dyDescent="0.25">
      <c r="A12" s="3"/>
      <c r="B12" s="3"/>
      <c r="C12" s="3"/>
      <c r="D12" s="1"/>
      <c r="E12" s="1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13"/>
      <c r="R12" s="3"/>
      <c r="S12" s="1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13"/>
      <c r="AF12" s="13"/>
      <c r="AG12" s="3"/>
      <c r="AH12" s="3"/>
      <c r="AI12" s="3"/>
    </row>
    <row r="13" spans="1:35" ht="15" customHeight="1" x14ac:dyDescent="0.25">
      <c r="A13" s="3"/>
      <c r="B13" s="3"/>
      <c r="C13" s="3"/>
      <c r="D13" s="1"/>
      <c r="E13" s="79">
        <f>N36</f>
        <v>10.915000000000001</v>
      </c>
      <c r="F13" s="3"/>
      <c r="G13" s="3"/>
      <c r="H13" s="3"/>
      <c r="I13" s="3"/>
      <c r="J13" s="83" t="s">
        <v>25</v>
      </c>
      <c r="K13" s="83"/>
      <c r="L13" s="83"/>
      <c r="M13" s="3"/>
      <c r="N13" s="3"/>
      <c r="O13" s="3"/>
      <c r="P13" s="3"/>
      <c r="Q13" s="80">
        <f>N37</f>
        <v>15.966875000000002</v>
      </c>
      <c r="R13" s="3"/>
      <c r="S13" s="79">
        <f>N37</f>
        <v>15.966875000000002</v>
      </c>
      <c r="T13" s="3"/>
      <c r="U13" s="3"/>
      <c r="V13" s="3"/>
      <c r="W13" s="3"/>
      <c r="X13" s="83" t="s">
        <v>26</v>
      </c>
      <c r="Y13" s="83"/>
      <c r="Z13" s="83"/>
      <c r="AA13" s="3"/>
      <c r="AB13" s="3"/>
      <c r="AC13" s="3"/>
      <c r="AD13" s="3"/>
      <c r="AE13" s="80">
        <f>N36</f>
        <v>10.915000000000001</v>
      </c>
      <c r="AF13" s="13"/>
      <c r="AG13" s="3"/>
      <c r="AH13" s="82">
        <v>2.7</v>
      </c>
      <c r="AI13" s="3"/>
    </row>
    <row r="14" spans="1:35" x14ac:dyDescent="0.25">
      <c r="A14" s="3"/>
      <c r="B14" s="3"/>
      <c r="C14" s="3"/>
      <c r="D14" s="1"/>
      <c r="E14" s="79"/>
      <c r="F14" s="3"/>
      <c r="G14" s="3"/>
      <c r="H14" s="3"/>
      <c r="I14" s="3"/>
      <c r="J14" s="83"/>
      <c r="K14" s="83"/>
      <c r="L14" s="83"/>
      <c r="M14" s="3"/>
      <c r="N14" s="3"/>
      <c r="O14" s="3"/>
      <c r="P14" s="3"/>
      <c r="Q14" s="80"/>
      <c r="R14" s="3"/>
      <c r="S14" s="79"/>
      <c r="T14" s="3"/>
      <c r="U14" s="3"/>
      <c r="V14" s="3"/>
      <c r="W14" s="3"/>
      <c r="X14" s="83"/>
      <c r="Y14" s="83"/>
      <c r="Z14" s="83"/>
      <c r="AA14" s="3"/>
      <c r="AB14" s="3"/>
      <c r="AC14" s="3"/>
      <c r="AD14" s="3"/>
      <c r="AE14" s="80"/>
      <c r="AF14" s="13"/>
      <c r="AG14" s="3"/>
      <c r="AH14" s="82"/>
      <c r="AI14" s="3"/>
    </row>
    <row r="15" spans="1:35" x14ac:dyDescent="0.25">
      <c r="A15" s="3"/>
      <c r="B15" s="3"/>
      <c r="C15" s="3"/>
      <c r="D15" s="1"/>
      <c r="E15" s="79"/>
      <c r="F15" s="3"/>
      <c r="G15" s="3"/>
      <c r="H15" s="3"/>
      <c r="I15" s="3"/>
      <c r="J15" s="83"/>
      <c r="K15" s="83"/>
      <c r="L15" s="83"/>
      <c r="M15" s="3"/>
      <c r="N15" s="3"/>
      <c r="O15" s="3"/>
      <c r="P15" s="3"/>
      <c r="Q15" s="80"/>
      <c r="R15" s="3"/>
      <c r="S15" s="79"/>
      <c r="T15" s="3"/>
      <c r="U15" s="3"/>
      <c r="V15" s="3"/>
      <c r="W15" s="3"/>
      <c r="X15" s="83"/>
      <c r="Y15" s="83"/>
      <c r="Z15" s="83"/>
      <c r="AA15" s="3"/>
      <c r="AB15" s="3"/>
      <c r="AC15" s="3"/>
      <c r="AD15" s="3"/>
      <c r="AE15" s="80"/>
      <c r="AF15" s="13"/>
      <c r="AG15" s="3"/>
      <c r="AH15" s="82"/>
      <c r="AI15" s="3"/>
    </row>
    <row r="16" spans="1:35" x14ac:dyDescent="0.25">
      <c r="A16" s="3"/>
      <c r="B16" s="3"/>
      <c r="C16" s="3"/>
      <c r="D16" s="1"/>
      <c r="E16" s="1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13"/>
      <c r="R16" s="3"/>
      <c r="S16" s="1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13"/>
      <c r="AF16" s="13"/>
      <c r="AG16" s="3"/>
      <c r="AH16" s="3"/>
      <c r="AI16" s="3"/>
    </row>
    <row r="17" spans="1:35" x14ac:dyDescent="0.25">
      <c r="A17" s="3"/>
      <c r="B17" s="3"/>
      <c r="C17" s="3"/>
      <c r="D17" s="1"/>
      <c r="E17" s="1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13"/>
      <c r="R17" s="3"/>
      <c r="S17" s="1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13"/>
      <c r="AF17" s="13"/>
      <c r="AG17" s="3"/>
      <c r="AH17" s="3"/>
      <c r="AI17" s="3"/>
    </row>
    <row r="18" spans="1:35" ht="15.75" thickBot="1" x14ac:dyDescent="0.3">
      <c r="A18" s="3"/>
      <c r="B18" s="3"/>
      <c r="C18" s="3"/>
      <c r="D18" s="1"/>
      <c r="E18" s="17">
        <v>4</v>
      </c>
      <c r="F18" s="18"/>
      <c r="G18" s="18"/>
      <c r="H18" s="18"/>
      <c r="I18" s="18"/>
      <c r="J18" s="84">
        <f>N35</f>
        <v>18.4375</v>
      </c>
      <c r="K18" s="84"/>
      <c r="L18" s="84"/>
      <c r="M18" s="18"/>
      <c r="N18" s="18"/>
      <c r="O18" s="18"/>
      <c r="P18" s="18"/>
      <c r="Q18" s="19"/>
      <c r="R18" s="18"/>
      <c r="S18" s="17">
        <v>5</v>
      </c>
      <c r="T18" s="18"/>
      <c r="U18" s="18"/>
      <c r="V18" s="18"/>
      <c r="W18" s="18"/>
      <c r="X18" s="84">
        <f>J10</f>
        <v>18.4375</v>
      </c>
      <c r="Y18" s="84"/>
      <c r="Z18" s="84"/>
      <c r="AA18" s="18"/>
      <c r="AB18" s="18"/>
      <c r="AC18" s="18"/>
      <c r="AD18" s="18"/>
      <c r="AE18" s="19"/>
      <c r="AF18" s="13"/>
      <c r="AG18" s="3">
        <v>6</v>
      </c>
      <c r="AH18" s="82">
        <v>0.25</v>
      </c>
      <c r="AI18" s="3"/>
    </row>
    <row r="19" spans="1:35" ht="15.75" thickBot="1" x14ac:dyDescent="0.3">
      <c r="A19" s="3"/>
      <c r="B19" s="3"/>
      <c r="C19" s="13"/>
      <c r="D19" s="22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23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25"/>
      <c r="AG19" s="1"/>
      <c r="AH19" s="82"/>
      <c r="AI19" s="3"/>
    </row>
    <row r="20" spans="1:35" x14ac:dyDescent="0.25">
      <c r="A20" s="3"/>
      <c r="B20" s="3"/>
      <c r="C20" s="78">
        <v>0.25</v>
      </c>
      <c r="D20" s="85"/>
      <c r="E20" s="85"/>
      <c r="F20" s="3"/>
      <c r="G20" s="3"/>
      <c r="H20" s="3"/>
      <c r="I20" s="3"/>
      <c r="J20" s="81">
        <v>5.7</v>
      </c>
      <c r="K20" s="81"/>
      <c r="L20" s="81"/>
      <c r="M20" s="3"/>
      <c r="N20" s="3"/>
      <c r="O20" s="3"/>
      <c r="P20" s="3"/>
      <c r="Q20" s="85">
        <v>0.25</v>
      </c>
      <c r="R20" s="85"/>
      <c r="S20" s="85"/>
      <c r="T20" s="3"/>
      <c r="U20" s="3"/>
      <c r="V20" s="3"/>
      <c r="W20" s="3"/>
      <c r="X20" s="81">
        <v>5.7</v>
      </c>
      <c r="Y20" s="81"/>
      <c r="Z20" s="81"/>
      <c r="AA20" s="3"/>
      <c r="AB20" s="3"/>
      <c r="AC20" s="3"/>
      <c r="AD20" s="3"/>
      <c r="AE20" s="85">
        <v>0.25</v>
      </c>
      <c r="AF20" s="85"/>
      <c r="AG20" s="78"/>
      <c r="AH20" s="82"/>
      <c r="AI20" s="3"/>
    </row>
    <row r="21" spans="1:3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3"/>
      <c r="B22" s="43" t="s">
        <v>29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53"/>
      <c r="AI22" s="4"/>
    </row>
    <row r="23" spans="1:35" x14ac:dyDescent="0.25">
      <c r="A23" s="3"/>
      <c r="B23" s="3"/>
      <c r="C23" s="3"/>
      <c r="D23" s="3" t="s">
        <v>0</v>
      </c>
      <c r="E23" s="3"/>
      <c r="F23" s="3"/>
      <c r="G23" s="3"/>
      <c r="H23" s="3"/>
      <c r="I23" s="3"/>
      <c r="J23" s="3"/>
      <c r="K23" s="3"/>
      <c r="L23" s="75">
        <v>0.2</v>
      </c>
      <c r="M23" s="75"/>
      <c r="N23" s="31" t="s">
        <v>1</v>
      </c>
      <c r="O23" s="75">
        <v>25</v>
      </c>
      <c r="P23" s="75"/>
      <c r="Q23" s="31" t="s">
        <v>2</v>
      </c>
      <c r="R23" s="75">
        <f>L23*O23</f>
        <v>5</v>
      </c>
      <c r="S23" s="75"/>
      <c r="T23" s="3" t="s">
        <v>3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53"/>
      <c r="AI23" s="4"/>
    </row>
    <row r="24" spans="1:35" x14ac:dyDescent="0.25">
      <c r="A24" s="3"/>
      <c r="B24" s="3"/>
      <c r="C24" s="3"/>
      <c r="D24" s="3" t="s">
        <v>4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75">
        <v>7.5</v>
      </c>
      <c r="S24" s="75"/>
      <c r="T24" s="3" t="s">
        <v>3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53"/>
      <c r="AI24" s="4"/>
    </row>
    <row r="25" spans="1:35" x14ac:dyDescent="0.25">
      <c r="A25" s="3"/>
      <c r="B25" s="3"/>
      <c r="C25" s="3"/>
      <c r="D25" s="43" t="s">
        <v>5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92">
        <f>SUM(R23:R24)</f>
        <v>12.5</v>
      </c>
      <c r="S25" s="92"/>
      <c r="T25" s="43" t="s">
        <v>3</v>
      </c>
      <c r="U25" s="4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53"/>
      <c r="AI25" s="4"/>
    </row>
    <row r="26" spans="1:3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54"/>
      <c r="S26" s="54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53"/>
      <c r="AI26" s="4"/>
    </row>
    <row r="27" spans="1:3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53"/>
      <c r="AI27" s="4"/>
    </row>
    <row r="28" spans="1:35" x14ac:dyDescent="0.25">
      <c r="A28" s="3"/>
      <c r="B28" s="3"/>
      <c r="C28" s="3"/>
      <c r="D28" s="43" t="s">
        <v>30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53"/>
      <c r="AI28" s="4"/>
    </row>
    <row r="29" spans="1:3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 t="s">
        <v>17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53"/>
      <c r="AI29" s="4"/>
    </row>
    <row r="30" spans="1:35" x14ac:dyDescent="0.25">
      <c r="A30" s="3"/>
      <c r="B30" s="3"/>
      <c r="C30" s="3"/>
      <c r="D30" s="3"/>
      <c r="E30" s="90" t="s">
        <v>8</v>
      </c>
      <c r="F30" s="90"/>
      <c r="G30" s="78">
        <v>12.5</v>
      </c>
      <c r="H30" s="78"/>
      <c r="I30" s="3"/>
      <c r="J30" s="3"/>
      <c r="K30" s="3"/>
      <c r="L30" s="3" t="s">
        <v>11</v>
      </c>
      <c r="M30" s="3"/>
      <c r="N30" s="75">
        <f>G30*R$25*X$37/100</f>
        <v>4.609375</v>
      </c>
      <c r="O30" s="75"/>
      <c r="P30" s="3" t="s">
        <v>14</v>
      </c>
      <c r="Q30" s="3"/>
      <c r="R30" s="3"/>
      <c r="S30" s="3"/>
      <c r="T30" s="3" t="s">
        <v>108</v>
      </c>
      <c r="U30" s="3"/>
      <c r="V30" s="75">
        <f>Plan2!E23</f>
        <v>0.90395959321330799</v>
      </c>
      <c r="W30" s="75"/>
      <c r="X30" s="3"/>
      <c r="Y30" s="3" t="s">
        <v>107</v>
      </c>
      <c r="Z30" s="3"/>
      <c r="AA30" s="95">
        <v>6.3</v>
      </c>
      <c r="AB30" s="95"/>
      <c r="AC30" s="3"/>
      <c r="AD30" s="78" t="s">
        <v>109</v>
      </c>
      <c r="AE30" s="78"/>
      <c r="AF30" s="95">
        <f>PI()*(AA30/10)^2/4*100/V30</f>
        <v>34.48434348092475</v>
      </c>
      <c r="AG30" s="95"/>
      <c r="AH30" s="53"/>
      <c r="AI30" s="4"/>
    </row>
    <row r="31" spans="1:35" x14ac:dyDescent="0.25">
      <c r="A31" s="3"/>
      <c r="B31" s="3"/>
      <c r="C31" s="3"/>
      <c r="D31" s="3"/>
      <c r="E31" s="90" t="s">
        <v>9</v>
      </c>
      <c r="F31" s="90"/>
      <c r="G31" s="78">
        <v>3.36</v>
      </c>
      <c r="H31" s="78"/>
      <c r="I31" s="3"/>
      <c r="J31" s="3"/>
      <c r="K31" s="3"/>
      <c r="L31" s="3" t="s">
        <v>12</v>
      </c>
      <c r="M31" s="3"/>
      <c r="N31" s="75">
        <f>G31*R$25*X$37/100</f>
        <v>1.2390000000000001</v>
      </c>
      <c r="O31" s="75"/>
      <c r="P31" s="3" t="s">
        <v>14</v>
      </c>
      <c r="Q31" s="3"/>
      <c r="R31" s="3"/>
      <c r="S31" s="3"/>
      <c r="T31" s="3" t="s">
        <v>108</v>
      </c>
      <c r="U31" s="3"/>
      <c r="V31" s="75">
        <f>Plan2!L23</f>
        <v>0.24211073335692809</v>
      </c>
      <c r="W31" s="75"/>
      <c r="X31" s="3"/>
      <c r="Y31" s="3" t="s">
        <v>107</v>
      </c>
      <c r="Z31" s="3"/>
      <c r="AA31" s="95">
        <v>6.3</v>
      </c>
      <c r="AB31" s="95"/>
      <c r="AC31" s="3"/>
      <c r="AD31" s="78" t="s">
        <v>109</v>
      </c>
      <c r="AE31" s="78"/>
      <c r="AF31" s="95">
        <f t="shared" ref="AF31:AF32" si="0">PI()*(AA31/10)^2/4*100/V31</f>
        <v>128.75287548400098</v>
      </c>
      <c r="AG31" s="95"/>
      <c r="AH31" s="53"/>
      <c r="AI31" s="4"/>
    </row>
    <row r="32" spans="1:35" x14ac:dyDescent="0.25">
      <c r="A32" s="3"/>
      <c r="B32" s="3"/>
      <c r="C32" s="3"/>
      <c r="D32" s="3"/>
      <c r="E32" s="90" t="s">
        <v>10</v>
      </c>
      <c r="F32" s="90"/>
      <c r="G32" s="75">
        <v>12.2</v>
      </c>
      <c r="H32" s="75"/>
      <c r="I32" s="3"/>
      <c r="J32" s="3"/>
      <c r="K32" s="3"/>
      <c r="L32" s="3" t="s">
        <v>13</v>
      </c>
      <c r="M32" s="3"/>
      <c r="N32" s="75">
        <f>G32*R$25*X$37/100</f>
        <v>4.4987500000000002</v>
      </c>
      <c r="O32" s="75"/>
      <c r="P32" s="3" t="s">
        <v>14</v>
      </c>
      <c r="Q32" s="3"/>
      <c r="R32" s="3"/>
      <c r="S32" s="3"/>
      <c r="T32" s="3" t="s">
        <v>108</v>
      </c>
      <c r="U32" s="3"/>
      <c r="V32" s="75">
        <f>Plan2!E43</f>
        <v>0.88215971897111423</v>
      </c>
      <c r="W32" s="75"/>
      <c r="X32" s="3"/>
      <c r="Y32" s="3" t="s">
        <v>107</v>
      </c>
      <c r="Z32" s="3"/>
      <c r="AA32" s="95">
        <v>6.3</v>
      </c>
      <c r="AB32" s="95"/>
      <c r="AC32" s="3"/>
      <c r="AD32" s="78" t="s">
        <v>109</v>
      </c>
      <c r="AE32" s="78"/>
      <c r="AF32" s="95">
        <f t="shared" si="0"/>
        <v>35.336518359285286</v>
      </c>
      <c r="AG32" s="95"/>
      <c r="AH32" s="53"/>
      <c r="AI32" s="4"/>
    </row>
    <row r="33" spans="1:5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53"/>
      <c r="AI33" s="4"/>
      <c r="AM33" s="32" t="s">
        <v>11</v>
      </c>
      <c r="AP33" s="32"/>
      <c r="AQ33" s="32"/>
      <c r="AS33" s="47"/>
      <c r="AU33" s="32" t="s">
        <v>104</v>
      </c>
      <c r="AV33" s="32"/>
      <c r="AW33" s="48" t="s">
        <v>105</v>
      </c>
      <c r="AX33" s="49">
        <v>10</v>
      </c>
      <c r="AY33" s="50" t="s">
        <v>106</v>
      </c>
      <c r="AZ33" s="49" t="e">
        <f>100*(AX33/10)^2*PI()/4/AD30</f>
        <v>#VALUE!</v>
      </c>
      <c r="BA33" s="32" t="s">
        <v>72</v>
      </c>
    </row>
    <row r="34" spans="1:5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 t="s">
        <v>18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78" t="s">
        <v>32</v>
      </c>
      <c r="AD34" s="78"/>
      <c r="AE34" s="3"/>
      <c r="AF34" s="61"/>
      <c r="AG34" s="3"/>
      <c r="AH34" s="53"/>
      <c r="AI34" s="4"/>
    </row>
    <row r="35" spans="1:53" x14ac:dyDescent="0.25">
      <c r="A35" s="3"/>
      <c r="B35" s="3"/>
      <c r="C35" s="3"/>
      <c r="D35" s="3"/>
      <c r="E35" s="90" t="s">
        <v>22</v>
      </c>
      <c r="F35" s="90"/>
      <c r="G35" s="75">
        <v>5</v>
      </c>
      <c r="H35" s="75"/>
      <c r="I35" s="3"/>
      <c r="J35" s="3"/>
      <c r="K35" s="3"/>
      <c r="L35" s="3" t="s">
        <v>19</v>
      </c>
      <c r="M35" s="3"/>
      <c r="N35" s="91">
        <f>G35*R$25*X$37/10</f>
        <v>18.4375</v>
      </c>
      <c r="O35" s="91"/>
      <c r="P35" s="3" t="s">
        <v>14</v>
      </c>
      <c r="Q35" s="3"/>
      <c r="R35" s="3"/>
      <c r="S35" s="3"/>
      <c r="T35" s="3"/>
      <c r="U35" s="3" t="s">
        <v>6</v>
      </c>
      <c r="V35" s="3"/>
      <c r="W35" s="3"/>
      <c r="X35" s="3"/>
      <c r="Y35" s="3"/>
      <c r="Z35" s="3"/>
      <c r="AA35" s="3"/>
      <c r="AB35" s="55"/>
      <c r="AC35" s="27"/>
      <c r="AD35" s="27"/>
      <c r="AE35" s="56"/>
      <c r="AF35" s="61"/>
      <c r="AG35" s="3"/>
      <c r="AH35" s="53"/>
      <c r="AI35" s="4"/>
    </row>
    <row r="36" spans="1:53" x14ac:dyDescent="0.25">
      <c r="A36" s="3"/>
      <c r="B36" s="3"/>
      <c r="C36" s="3"/>
      <c r="D36" s="3"/>
      <c r="E36" s="90" t="s">
        <v>23</v>
      </c>
      <c r="F36" s="90"/>
      <c r="G36" s="78">
        <v>2.96</v>
      </c>
      <c r="H36" s="78"/>
      <c r="I36" s="3"/>
      <c r="J36" s="3"/>
      <c r="K36" s="3"/>
      <c r="L36" s="3" t="s">
        <v>20</v>
      </c>
      <c r="M36" s="3"/>
      <c r="N36" s="91">
        <f>G36*R$25*X$37/10</f>
        <v>10.915000000000001</v>
      </c>
      <c r="O36" s="91"/>
      <c r="P36" s="3" t="s">
        <v>14</v>
      </c>
      <c r="Q36" s="3"/>
      <c r="R36" s="3"/>
      <c r="S36" s="3"/>
      <c r="T36" s="3"/>
      <c r="U36" s="78" t="s">
        <v>15</v>
      </c>
      <c r="V36" s="78"/>
      <c r="W36" s="31" t="s">
        <v>1</v>
      </c>
      <c r="X36" s="78" t="s">
        <v>16</v>
      </c>
      <c r="Y36" s="78"/>
      <c r="Z36" s="3"/>
      <c r="AA36" s="3" t="s">
        <v>1</v>
      </c>
      <c r="AB36" s="9"/>
      <c r="AC36" s="93" t="s">
        <v>31</v>
      </c>
      <c r="AD36" s="94"/>
      <c r="AE36" s="57"/>
      <c r="AF36" s="61"/>
      <c r="AG36" s="3"/>
      <c r="AH36" s="53"/>
      <c r="AI36" s="4"/>
    </row>
    <row r="37" spans="1:53" x14ac:dyDescent="0.25">
      <c r="A37" s="3"/>
      <c r="B37" s="3"/>
      <c r="C37" s="3"/>
      <c r="D37" s="3"/>
      <c r="E37" s="90" t="s">
        <v>24</v>
      </c>
      <c r="F37" s="90"/>
      <c r="G37" s="78">
        <v>4.33</v>
      </c>
      <c r="H37" s="78"/>
      <c r="I37" s="3"/>
      <c r="J37" s="3"/>
      <c r="K37" s="3"/>
      <c r="L37" s="3" t="s">
        <v>21</v>
      </c>
      <c r="M37" s="3"/>
      <c r="N37" s="91">
        <f>G37*R$25*X$37/10</f>
        <v>15.966875000000002</v>
      </c>
      <c r="O37" s="91"/>
      <c r="P37" s="3" t="s">
        <v>14</v>
      </c>
      <c r="Q37" s="3"/>
      <c r="R37" s="3"/>
      <c r="S37" s="3"/>
      <c r="T37" s="3"/>
      <c r="U37" s="75">
        <v>5.95</v>
      </c>
      <c r="V37" s="75"/>
      <c r="W37" s="31" t="s">
        <v>1</v>
      </c>
      <c r="X37" s="78">
        <v>2.95</v>
      </c>
      <c r="Y37" s="78"/>
      <c r="Z37" s="3"/>
      <c r="AA37" s="3"/>
      <c r="AB37" s="58"/>
      <c r="AC37" s="59"/>
      <c r="AD37" s="59"/>
      <c r="AE37" s="60"/>
      <c r="AF37" s="61"/>
      <c r="AG37" s="3"/>
      <c r="AH37" s="53"/>
      <c r="AI37" s="4"/>
    </row>
    <row r="38" spans="1:5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90" t="s">
        <v>7</v>
      </c>
      <c r="V38" s="90"/>
      <c r="W38" s="78">
        <f>U37/X37</f>
        <v>2.0169491525423728</v>
      </c>
      <c r="X38" s="78"/>
      <c r="Y38" s="3"/>
      <c r="Z38" s="3"/>
      <c r="AA38" s="3"/>
      <c r="AB38" s="3"/>
      <c r="AC38" s="3"/>
      <c r="AD38" s="3"/>
      <c r="AE38" s="3"/>
      <c r="AF38" s="3"/>
      <c r="AG38" s="3"/>
      <c r="AH38" s="53"/>
      <c r="AI38" s="4"/>
    </row>
    <row r="39" spans="1:53" x14ac:dyDescent="0.25">
      <c r="A39" s="51"/>
      <c r="B39" s="45" t="s">
        <v>55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</row>
    <row r="40" spans="1:53" x14ac:dyDescent="0.25">
      <c r="A40" s="51"/>
      <c r="B40" s="45" t="s">
        <v>56</v>
      </c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</row>
    <row r="41" spans="1:53" x14ac:dyDescent="0.25">
      <c r="A41" s="51"/>
      <c r="B41" s="45" t="s">
        <v>57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</row>
    <row r="42" spans="1:53" x14ac:dyDescent="0.25">
      <c r="A42" s="51"/>
      <c r="B42" s="45" t="s">
        <v>58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</row>
    <row r="43" spans="1:5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62"/>
      <c r="V43" s="62"/>
      <c r="W43" s="31"/>
      <c r="X43" s="31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53" x14ac:dyDescent="0.25">
      <c r="A44" s="3"/>
      <c r="B44" s="3"/>
      <c r="C44" s="3" t="s">
        <v>33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5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78">
        <v>81.599999999999994</v>
      </c>
      <c r="Q45" s="78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53" x14ac:dyDescent="0.25">
      <c r="A46" s="3"/>
      <c r="B46" s="3"/>
      <c r="C46" s="3"/>
      <c r="D46" s="3"/>
      <c r="E46" s="3"/>
      <c r="F46" s="3"/>
      <c r="G46" s="3"/>
      <c r="H46" s="3"/>
      <c r="I46" s="3"/>
      <c r="J46" s="88">
        <f>N35</f>
        <v>18.4375</v>
      </c>
      <c r="K46" s="88"/>
      <c r="L46" s="88"/>
      <c r="M46" s="3"/>
      <c r="N46" s="3"/>
      <c r="O46" s="3"/>
      <c r="P46" s="3"/>
      <c r="Q46" s="3"/>
      <c r="R46" s="3"/>
      <c r="S46" s="3"/>
      <c r="T46" s="3"/>
      <c r="U46" s="3"/>
      <c r="V46" s="88">
        <f>N35</f>
        <v>18.4375</v>
      </c>
      <c r="W46" s="88"/>
      <c r="X46" s="88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53" x14ac:dyDescent="0.25">
      <c r="A47" s="3"/>
      <c r="B47" s="3"/>
      <c r="C47" s="3"/>
      <c r="D47" s="3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2"/>
      <c r="AC47" s="9"/>
      <c r="AD47" s="3"/>
      <c r="AE47" s="3" t="s">
        <v>38</v>
      </c>
      <c r="AF47" s="3"/>
      <c r="AG47" s="3"/>
      <c r="AH47" s="3"/>
      <c r="AI47" s="3"/>
    </row>
    <row r="48" spans="1:53" x14ac:dyDescent="0.25">
      <c r="A48" s="3"/>
      <c r="B48" s="3"/>
      <c r="C48" s="3"/>
      <c r="D48" s="6"/>
      <c r="E48" s="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6"/>
      <c r="Q48" s="7"/>
      <c r="R48" s="3"/>
      <c r="S48" s="3"/>
      <c r="T48" s="27"/>
      <c r="U48" s="27"/>
      <c r="V48" s="3"/>
      <c r="W48" s="3"/>
      <c r="X48" s="3"/>
      <c r="Y48" s="3"/>
      <c r="Z48" s="3"/>
      <c r="AA48" s="3"/>
      <c r="AB48" s="6"/>
      <c r="AC48" s="8"/>
      <c r="AD48" s="3"/>
      <c r="AE48" s="3"/>
      <c r="AF48" s="3"/>
      <c r="AG48" s="3"/>
      <c r="AH48" s="3"/>
      <c r="AI48" s="3"/>
    </row>
    <row r="49" spans="1:40" x14ac:dyDescent="0.25">
      <c r="A49" s="3"/>
      <c r="B49" s="3"/>
      <c r="C49" s="3"/>
      <c r="D49" s="89">
        <v>1</v>
      </c>
      <c r="E49" s="89"/>
      <c r="F49" s="3"/>
      <c r="G49" s="52"/>
      <c r="H49" s="52"/>
      <c r="I49" s="52"/>
      <c r="J49" s="78">
        <v>5.95</v>
      </c>
      <c r="K49" s="78"/>
      <c r="L49" s="78"/>
      <c r="M49" s="28"/>
      <c r="N49" s="3"/>
      <c r="O49" s="52"/>
      <c r="P49" s="77">
        <v>2</v>
      </c>
      <c r="Q49" s="77"/>
      <c r="R49" s="3"/>
      <c r="S49" s="3"/>
      <c r="T49" s="28"/>
      <c r="U49" s="28"/>
      <c r="V49" s="78">
        <v>5.95</v>
      </c>
      <c r="W49" s="78"/>
      <c r="X49" s="78"/>
      <c r="Y49" s="52"/>
      <c r="Z49" s="3"/>
      <c r="AA49" s="3"/>
      <c r="AB49" s="89">
        <v>3</v>
      </c>
      <c r="AC49" s="89"/>
      <c r="AD49" s="3"/>
      <c r="AE49" s="3"/>
      <c r="AF49" s="3"/>
      <c r="AG49" s="3"/>
      <c r="AH49" s="3"/>
      <c r="AI49" s="3"/>
    </row>
    <row r="50" spans="1:40" x14ac:dyDescent="0.25">
      <c r="A50" s="3"/>
      <c r="B50" s="3"/>
      <c r="C50" s="3"/>
      <c r="D50" s="78">
        <v>0</v>
      </c>
      <c r="E50" s="78"/>
      <c r="F50" s="3"/>
      <c r="G50" s="3"/>
      <c r="H50" s="3"/>
      <c r="I50" s="3"/>
      <c r="J50" s="78">
        <v>45.9</v>
      </c>
      <c r="K50" s="78"/>
      <c r="L50" s="78"/>
      <c r="M50" s="3"/>
      <c r="N50" s="3"/>
      <c r="O50" s="78">
        <f>D50+J49</f>
        <v>5.95</v>
      </c>
      <c r="P50" s="78"/>
      <c r="Q50" s="78"/>
      <c r="R50" s="78"/>
      <c r="S50" s="3"/>
      <c r="T50" s="75"/>
      <c r="U50" s="75"/>
      <c r="V50" s="78">
        <v>45.9</v>
      </c>
      <c r="W50" s="78"/>
      <c r="X50" s="78"/>
      <c r="Y50" s="3"/>
      <c r="Z50" s="3"/>
      <c r="AA50" s="75">
        <f>O50+V49</f>
        <v>11.9</v>
      </c>
      <c r="AB50" s="75"/>
      <c r="AC50" s="75"/>
      <c r="AD50" s="75"/>
      <c r="AE50" s="3"/>
      <c r="AF50" s="3"/>
      <c r="AG50" s="3"/>
      <c r="AH50" s="3"/>
      <c r="AI50" s="3"/>
      <c r="AN50" s="26"/>
    </row>
    <row r="51" spans="1:40" x14ac:dyDescent="0.25">
      <c r="A51" s="3"/>
      <c r="B51" s="3"/>
      <c r="C51" s="78">
        <v>41.1</v>
      </c>
      <c r="D51" s="78"/>
      <c r="E51" s="78"/>
      <c r="F51" s="78"/>
      <c r="G51" s="3"/>
      <c r="H51" s="3"/>
      <c r="I51" s="3"/>
      <c r="J51" s="3"/>
      <c r="K51" s="3"/>
      <c r="L51" s="3"/>
      <c r="M51" s="3"/>
      <c r="N51" s="3"/>
      <c r="O51" s="78">
        <v>137.1</v>
      </c>
      <c r="P51" s="78"/>
      <c r="Q51" s="78"/>
      <c r="R51" s="78"/>
      <c r="S51" s="3"/>
      <c r="T51" s="75"/>
      <c r="U51" s="75"/>
      <c r="V51" s="3"/>
      <c r="W51" s="3"/>
      <c r="X51" s="3"/>
      <c r="Y51" s="3"/>
      <c r="Z51" s="3"/>
      <c r="AA51" s="78">
        <v>41.1</v>
      </c>
      <c r="AB51" s="78"/>
      <c r="AC51" s="78"/>
      <c r="AD51" s="78"/>
      <c r="AE51" s="3"/>
      <c r="AF51" s="3"/>
      <c r="AG51" s="3"/>
      <c r="AH51" s="3"/>
      <c r="AI51" s="3"/>
    </row>
    <row r="52" spans="1:40" x14ac:dyDescent="0.25">
      <c r="A52" s="3"/>
      <c r="B52" s="3"/>
      <c r="C52" s="3" t="s">
        <v>34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4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40" x14ac:dyDescent="0.25">
      <c r="A54" s="3"/>
      <c r="B54" s="3"/>
      <c r="C54" s="3"/>
      <c r="D54" s="3"/>
      <c r="E54" s="3"/>
      <c r="F54" s="3"/>
      <c r="G54" s="3"/>
      <c r="H54" s="3"/>
      <c r="I54" s="3"/>
      <c r="J54" s="88">
        <f>N36</f>
        <v>10.915000000000001</v>
      </c>
      <c r="K54" s="88"/>
      <c r="L54" s="88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40" x14ac:dyDescent="0.25">
      <c r="A55" s="3"/>
      <c r="B55" s="3"/>
      <c r="C55" s="3"/>
      <c r="D55" s="3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29"/>
      <c r="R55" s="3"/>
      <c r="S55" s="3" t="s">
        <v>39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40" x14ac:dyDescent="0.25">
      <c r="A56" s="3"/>
      <c r="B56" s="3"/>
      <c r="C56" s="3"/>
      <c r="D56" s="6"/>
      <c r="E56" s="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6"/>
      <c r="Q56" s="8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40" x14ac:dyDescent="0.25">
      <c r="A57" s="3"/>
      <c r="B57" s="3"/>
      <c r="C57" s="86" t="s">
        <v>35</v>
      </c>
      <c r="D57" s="87"/>
      <c r="E57" s="87"/>
      <c r="F57" s="87"/>
      <c r="G57" s="52"/>
      <c r="H57" s="52"/>
      <c r="I57" s="52"/>
      <c r="J57" s="75">
        <v>2.95</v>
      </c>
      <c r="K57" s="75"/>
      <c r="L57" s="75"/>
      <c r="M57" s="28"/>
      <c r="N57" s="3"/>
      <c r="O57" s="52"/>
      <c r="P57" s="76" t="s">
        <v>36</v>
      </c>
      <c r="Q57" s="77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40" x14ac:dyDescent="0.25">
      <c r="A58" s="3"/>
      <c r="B58" s="3"/>
      <c r="C58" s="3"/>
      <c r="D58" s="78"/>
      <c r="E58" s="78"/>
      <c r="F58" s="3"/>
      <c r="G58" s="3"/>
      <c r="H58" s="3"/>
      <c r="I58" s="3"/>
      <c r="J58" s="3"/>
      <c r="K58" s="3"/>
      <c r="L58" s="3"/>
      <c r="M58" s="3"/>
      <c r="N58" s="3"/>
      <c r="O58" s="78"/>
      <c r="P58" s="78"/>
      <c r="Q58" s="78"/>
      <c r="R58" s="78"/>
      <c r="S58" s="3"/>
      <c r="T58" s="52"/>
      <c r="U58" s="52"/>
      <c r="V58" s="3"/>
      <c r="W58" s="3"/>
      <c r="X58" s="3"/>
      <c r="Y58" s="3"/>
      <c r="Z58" s="3"/>
      <c r="AA58" s="75"/>
      <c r="AB58" s="75"/>
      <c r="AC58" s="75"/>
      <c r="AD58" s="75"/>
      <c r="AE58" s="3"/>
      <c r="AF58" s="3"/>
      <c r="AG58" s="3"/>
      <c r="AH58" s="3"/>
      <c r="AI58" s="3"/>
    </row>
    <row r="59" spans="1:40" x14ac:dyDescent="0.25">
      <c r="A59" s="3"/>
      <c r="B59" s="3"/>
      <c r="C59" s="75">
        <f>J54*J57/2</f>
        <v>16.099625000000003</v>
      </c>
      <c r="D59" s="75"/>
      <c r="E59" s="75"/>
      <c r="F59" s="75"/>
      <c r="G59" s="3"/>
      <c r="H59" s="3"/>
      <c r="I59" s="3"/>
      <c r="J59" s="75">
        <f>J54*J57^2/8</f>
        <v>11.873473437500001</v>
      </c>
      <c r="K59" s="75"/>
      <c r="L59" s="75"/>
      <c r="M59" s="3"/>
      <c r="N59" s="3"/>
      <c r="O59" s="75">
        <f>C59</f>
        <v>16.099625000000003</v>
      </c>
      <c r="P59" s="78"/>
      <c r="Q59" s="78"/>
      <c r="R59" s="78"/>
      <c r="S59" s="3"/>
      <c r="T59" s="75"/>
      <c r="U59" s="75"/>
      <c r="V59" s="3"/>
      <c r="W59" s="3"/>
      <c r="X59" s="3"/>
      <c r="Y59" s="3"/>
      <c r="Z59" s="3"/>
      <c r="AA59" s="78"/>
      <c r="AB59" s="78"/>
      <c r="AC59" s="78"/>
      <c r="AD59" s="78"/>
      <c r="AE59" s="3"/>
      <c r="AF59" s="3"/>
      <c r="AG59" s="3"/>
      <c r="AH59" s="3"/>
      <c r="AI59" s="3"/>
    </row>
    <row r="60" spans="1:4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40" x14ac:dyDescent="0.25">
      <c r="A61" s="3"/>
      <c r="B61" s="3"/>
      <c r="C61" s="3" t="s">
        <v>37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4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40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40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6" x14ac:dyDescent="0.25">
      <c r="A65" s="3"/>
      <c r="B65" s="3"/>
      <c r="C65" s="3"/>
      <c r="D65" s="3"/>
      <c r="E65" s="3"/>
      <c r="F65" s="3"/>
      <c r="G65" s="3"/>
      <c r="H65" s="3"/>
      <c r="I65" s="3"/>
      <c r="J65" s="88">
        <f>N37*2</f>
        <v>31.933750000000003</v>
      </c>
      <c r="K65" s="88"/>
      <c r="L65" s="88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6" x14ac:dyDescent="0.25">
      <c r="A66" s="3"/>
      <c r="B66" s="3"/>
      <c r="C66" s="3"/>
      <c r="D66" s="3"/>
      <c r="E66" s="10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29"/>
      <c r="R66" s="3"/>
      <c r="S66" s="3" t="s">
        <v>39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6" x14ac:dyDescent="0.25">
      <c r="A67" s="3"/>
      <c r="B67" s="3"/>
      <c r="C67" s="3"/>
      <c r="D67" s="6"/>
      <c r="E67" s="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6"/>
      <c r="Q67" s="8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6" x14ac:dyDescent="0.25">
      <c r="A68" s="3"/>
      <c r="B68" s="3"/>
      <c r="C68" s="75">
        <v>2</v>
      </c>
      <c r="D68" s="75"/>
      <c r="E68" s="75"/>
      <c r="F68" s="75"/>
      <c r="G68" s="52"/>
      <c r="H68" s="52"/>
      <c r="I68" s="52"/>
      <c r="J68" s="75">
        <v>2.95</v>
      </c>
      <c r="K68" s="75"/>
      <c r="L68" s="75"/>
      <c r="M68" s="28"/>
      <c r="N68" s="3"/>
      <c r="O68" s="52"/>
      <c r="P68" s="76">
        <v>2</v>
      </c>
      <c r="Q68" s="77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6" x14ac:dyDescent="0.25">
      <c r="A69" s="3"/>
      <c r="B69" s="3"/>
      <c r="C69" s="3"/>
      <c r="D69" s="78"/>
      <c r="E69" s="78"/>
      <c r="F69" s="3"/>
      <c r="G69" s="3"/>
      <c r="H69" s="3"/>
      <c r="I69" s="3"/>
      <c r="J69" s="3"/>
      <c r="K69" s="3"/>
      <c r="L69" s="3"/>
      <c r="M69" s="3"/>
      <c r="N69" s="3"/>
      <c r="O69" s="78"/>
      <c r="P69" s="78"/>
      <c r="Q69" s="78"/>
      <c r="R69" s="78"/>
      <c r="S69" s="3"/>
      <c r="T69" s="52"/>
      <c r="U69" s="52"/>
      <c r="V69" s="3"/>
      <c r="W69" s="3"/>
      <c r="X69" s="3"/>
      <c r="Y69" s="3"/>
      <c r="Z69" s="3"/>
      <c r="AA69" s="75"/>
      <c r="AB69" s="75"/>
      <c r="AC69" s="75"/>
      <c r="AD69" s="75"/>
      <c r="AE69" s="3"/>
      <c r="AF69" s="3"/>
      <c r="AG69" s="3"/>
      <c r="AH69" s="3"/>
      <c r="AI69" s="3"/>
    </row>
    <row r="70" spans="1:36" x14ac:dyDescent="0.25">
      <c r="A70" s="3"/>
      <c r="B70" s="3"/>
      <c r="C70" s="75">
        <f>J65*J68/2</f>
        <v>47.102281250000004</v>
      </c>
      <c r="D70" s="75"/>
      <c r="E70" s="75"/>
      <c r="F70" s="75"/>
      <c r="G70" s="3"/>
      <c r="H70" s="3"/>
      <c r="I70" s="3"/>
      <c r="J70" s="75">
        <f>J65*J68^2/8</f>
        <v>34.737932421875009</v>
      </c>
      <c r="K70" s="75"/>
      <c r="L70" s="75"/>
      <c r="M70" s="3"/>
      <c r="N70" s="3"/>
      <c r="O70" s="75">
        <f>C70</f>
        <v>47.102281250000004</v>
      </c>
      <c r="P70" s="78"/>
      <c r="Q70" s="78"/>
      <c r="R70" s="78"/>
      <c r="S70" s="3"/>
      <c r="T70" s="75"/>
      <c r="U70" s="75"/>
      <c r="V70" s="3"/>
      <c r="W70" s="3"/>
      <c r="X70" s="3"/>
      <c r="Y70" s="3"/>
      <c r="Z70" s="3"/>
      <c r="AA70" s="78"/>
      <c r="AB70" s="78"/>
      <c r="AC70" s="78"/>
      <c r="AD70" s="78"/>
      <c r="AE70" s="3"/>
      <c r="AF70" s="3"/>
      <c r="AG70" s="3"/>
      <c r="AH70" s="3"/>
      <c r="AI70" s="3"/>
    </row>
    <row r="71" spans="1:36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6" x14ac:dyDescent="0.25">
      <c r="A72" s="3"/>
      <c r="B72" s="3"/>
      <c r="C72" s="3" t="s">
        <v>40</v>
      </c>
      <c r="D72" s="3"/>
      <c r="E72" s="75">
        <f>C51+O59</f>
        <v>57.199625000000005</v>
      </c>
      <c r="F72" s="75"/>
      <c r="G72" s="3"/>
      <c r="H72" s="3"/>
      <c r="I72" s="3"/>
      <c r="J72" s="3"/>
      <c r="K72" s="3"/>
      <c r="L72" s="3"/>
      <c r="M72" s="3"/>
      <c r="N72" s="3"/>
      <c r="O72" s="3"/>
      <c r="P72" s="3" t="s">
        <v>41</v>
      </c>
      <c r="Q72" s="3"/>
      <c r="R72" s="75">
        <f>O51+O70</f>
        <v>184.20228125</v>
      </c>
      <c r="S72" s="75"/>
      <c r="T72" s="75"/>
      <c r="U72" s="3"/>
      <c r="V72" s="3"/>
      <c r="W72" s="3"/>
      <c r="X72" s="3"/>
      <c r="Y72" s="3"/>
      <c r="Z72" s="3" t="s">
        <v>42</v>
      </c>
      <c r="AA72" s="3"/>
      <c r="AB72" s="75">
        <f>AA51+O59</f>
        <v>57.199625000000005</v>
      </c>
      <c r="AC72" s="75"/>
      <c r="AD72" s="3"/>
      <c r="AE72" s="3"/>
      <c r="AF72" s="3"/>
      <c r="AG72" s="3"/>
      <c r="AH72" s="3"/>
      <c r="AI72" s="3"/>
    </row>
    <row r="73" spans="1:36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6" x14ac:dyDescent="0.25">
      <c r="A74" s="3"/>
      <c r="B74" s="3"/>
      <c r="C74" s="3" t="s">
        <v>43</v>
      </c>
      <c r="D74" s="3"/>
      <c r="E74" s="75">
        <f>C51+C59</f>
        <v>57.199625000000005</v>
      </c>
      <c r="F74" s="75"/>
      <c r="G74" s="3"/>
      <c r="H74" s="3"/>
      <c r="I74" s="3"/>
      <c r="J74" s="3"/>
      <c r="K74" s="3"/>
      <c r="L74" s="3"/>
      <c r="M74" s="3"/>
      <c r="N74" s="3"/>
      <c r="O74" s="3"/>
      <c r="P74" s="3" t="s">
        <v>44</v>
      </c>
      <c r="Q74" s="3"/>
      <c r="R74" s="75">
        <f>O51+O70</f>
        <v>184.20228125</v>
      </c>
      <c r="S74" s="75"/>
      <c r="T74" s="75"/>
      <c r="U74" s="3"/>
      <c r="V74" s="3"/>
      <c r="W74" s="3"/>
      <c r="X74" s="3"/>
      <c r="Y74" s="3"/>
      <c r="Z74" s="3" t="s">
        <v>45</v>
      </c>
      <c r="AA74" s="3"/>
      <c r="AB74" s="75">
        <f>AA51+C59</f>
        <v>57.199625000000005</v>
      </c>
      <c r="AC74" s="75"/>
      <c r="AD74" s="3"/>
      <c r="AE74" s="3"/>
      <c r="AF74" s="3"/>
      <c r="AG74" s="3"/>
      <c r="AH74" s="3"/>
      <c r="AI74" s="3"/>
    </row>
    <row r="75" spans="1:36" ht="13.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6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 t="s">
        <v>17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6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78" t="s">
        <v>111</v>
      </c>
      <c r="L78" s="78"/>
      <c r="M78" s="75">
        <f>J50</f>
        <v>45.9</v>
      </c>
      <c r="N78" s="75"/>
      <c r="O78" s="75"/>
      <c r="P78" s="3" t="s">
        <v>14</v>
      </c>
      <c r="Q78" s="3"/>
      <c r="R78" s="3"/>
      <c r="S78" s="3"/>
      <c r="T78" s="3" t="s">
        <v>108</v>
      </c>
      <c r="U78" s="3"/>
      <c r="V78" s="75">
        <f>Plan2!L43</f>
        <v>4.0339592383349574</v>
      </c>
      <c r="W78" s="75"/>
      <c r="X78" s="3"/>
      <c r="Y78" s="3" t="s">
        <v>107</v>
      </c>
      <c r="Z78" s="3"/>
      <c r="AA78" s="95">
        <v>12.5</v>
      </c>
      <c r="AB78" s="95"/>
      <c r="AC78" s="3"/>
      <c r="AD78" s="75">
        <f>V78/(PI()*(AA78/10)^2/4)</f>
        <v>3.2871657114225949</v>
      </c>
      <c r="AE78" s="75"/>
      <c r="AF78" s="95" t="s">
        <v>114</v>
      </c>
      <c r="AG78" s="95"/>
      <c r="AH78" s="3"/>
      <c r="AI78" s="3"/>
    </row>
    <row r="79" spans="1:36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78" t="s">
        <v>110</v>
      </c>
      <c r="L79" s="78"/>
      <c r="M79" s="75">
        <f>O51</f>
        <v>137.1</v>
      </c>
      <c r="N79" s="75"/>
      <c r="O79" s="75"/>
      <c r="P79" s="3" t="s">
        <v>14</v>
      </c>
      <c r="Q79" s="3"/>
      <c r="R79" s="3"/>
      <c r="S79" s="3"/>
      <c r="T79" s="3" t="s">
        <v>108</v>
      </c>
      <c r="U79" s="3"/>
      <c r="V79" s="75">
        <f>Plan2!E62</f>
        <v>12.547527693778919</v>
      </c>
      <c r="W79" s="75"/>
      <c r="X79" s="3"/>
      <c r="Y79" s="3" t="s">
        <v>107</v>
      </c>
      <c r="Z79" s="3"/>
      <c r="AA79" s="95">
        <v>16</v>
      </c>
      <c r="AB79" s="95"/>
      <c r="AC79" s="3"/>
      <c r="AD79" s="75">
        <f t="shared" ref="AD79:AD81" si="1">V79/(PI()*(AA79/10)^2/4)</f>
        <v>6.2406283001480141</v>
      </c>
      <c r="AE79" s="75"/>
      <c r="AF79" s="95" t="s">
        <v>114</v>
      </c>
      <c r="AG79" s="95"/>
      <c r="AH79" s="3"/>
      <c r="AI79" s="3"/>
    </row>
    <row r="80" spans="1:36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78" t="s">
        <v>112</v>
      </c>
      <c r="L80" s="78"/>
      <c r="M80" s="75">
        <f>J59</f>
        <v>11.873473437500001</v>
      </c>
      <c r="N80" s="75"/>
      <c r="O80" s="75"/>
      <c r="P80" s="3" t="s">
        <v>14</v>
      </c>
      <c r="Q80" s="3"/>
      <c r="R80" s="3"/>
      <c r="S80" s="3"/>
      <c r="T80" s="3" t="s">
        <v>108</v>
      </c>
      <c r="U80" s="3"/>
      <c r="V80" s="75">
        <f>Plan2!L62</f>
        <v>1.0584582753153486</v>
      </c>
      <c r="W80" s="75"/>
      <c r="X80" s="3"/>
      <c r="Y80" s="3" t="s">
        <v>107</v>
      </c>
      <c r="Z80" s="3"/>
      <c r="AA80" s="95">
        <v>8</v>
      </c>
      <c r="AB80" s="95"/>
      <c r="AC80" s="3"/>
      <c r="AD80" s="75">
        <f t="shared" si="1"/>
        <v>2.1057358321619999</v>
      </c>
      <c r="AE80" s="75"/>
      <c r="AF80" s="95" t="s">
        <v>114</v>
      </c>
      <c r="AG80" s="95"/>
      <c r="AH80" s="3"/>
      <c r="AI80" s="3"/>
    </row>
    <row r="81" spans="1:3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78" t="s">
        <v>113</v>
      </c>
      <c r="L81" s="78"/>
      <c r="M81" s="75">
        <f>J70</f>
        <v>34.737932421875009</v>
      </c>
      <c r="N81" s="75"/>
      <c r="O81" s="75"/>
      <c r="P81" s="3" t="s">
        <v>14</v>
      </c>
      <c r="Q81" s="3"/>
      <c r="R81" s="3"/>
      <c r="S81" s="3"/>
      <c r="T81" s="3" t="s">
        <v>108</v>
      </c>
      <c r="U81" s="3"/>
      <c r="V81" s="75">
        <f>Plan2!E86</f>
        <v>3.9131661534304771</v>
      </c>
      <c r="W81" s="75"/>
      <c r="X81" s="3"/>
      <c r="Y81" s="3" t="s">
        <v>107</v>
      </c>
      <c r="Z81" s="3"/>
      <c r="AA81" s="95">
        <v>12.5</v>
      </c>
      <c r="AB81" s="95"/>
      <c r="AC81" s="3"/>
      <c r="AD81" s="75">
        <f t="shared" si="1"/>
        <v>3.1887346506667957</v>
      </c>
      <c r="AE81" s="75"/>
      <c r="AF81" s="95" t="s">
        <v>114</v>
      </c>
      <c r="AG81" s="95"/>
      <c r="AH81" s="3"/>
      <c r="AI81" s="3"/>
    </row>
    <row r="82" spans="1:3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138" spans="40:44" x14ac:dyDescent="0.25">
      <c r="AN138" t="s">
        <v>46</v>
      </c>
    </row>
    <row r="140" spans="40:44" x14ac:dyDescent="0.25">
      <c r="AN140" t="s">
        <v>47</v>
      </c>
      <c r="AO140">
        <f>196*25</f>
        <v>4900</v>
      </c>
    </row>
    <row r="141" spans="40:44" x14ac:dyDescent="0.25">
      <c r="AN141" t="s">
        <v>48</v>
      </c>
      <c r="AO141" s="30">
        <f>PI()*16^2/4*2*16</f>
        <v>6433.9817545518963</v>
      </c>
    </row>
    <row r="143" spans="40:44" x14ac:dyDescent="0.25">
      <c r="AO143" s="30">
        <f>AO140+AO141</f>
        <v>11333.981754551896</v>
      </c>
      <c r="AQ143">
        <v>520</v>
      </c>
      <c r="AR143">
        <f>AO143/AQ143</f>
        <v>21.796118758753646</v>
      </c>
    </row>
    <row r="144" spans="40:44" x14ac:dyDescent="0.25">
      <c r="AO144">
        <v>12</v>
      </c>
    </row>
    <row r="146" spans="40:44" x14ac:dyDescent="0.25">
      <c r="AO146">
        <f>AO143/AO144</f>
        <v>944.49847954599136</v>
      </c>
      <c r="AP146" t="s">
        <v>27</v>
      </c>
    </row>
    <row r="147" spans="40:44" x14ac:dyDescent="0.25">
      <c r="AO147">
        <f>AO146/10</f>
        <v>94.449847954599136</v>
      </c>
      <c r="AP147" t="s">
        <v>49</v>
      </c>
    </row>
    <row r="149" spans="40:44" x14ac:dyDescent="0.25">
      <c r="AO149">
        <f>AO143*100</f>
        <v>1133398.1754551895</v>
      </c>
    </row>
    <row r="150" spans="40:44" x14ac:dyDescent="0.25">
      <c r="AO150">
        <f>PI()*16.5^2/4</f>
        <v>213.8246499849553</v>
      </c>
    </row>
    <row r="152" spans="40:44" x14ac:dyDescent="0.25">
      <c r="AO152">
        <f>AO149/AO150/10000</f>
        <v>0.53005964257859672</v>
      </c>
      <c r="AP152" t="s">
        <v>50</v>
      </c>
    </row>
    <row r="155" spans="40:44" x14ac:dyDescent="0.25">
      <c r="AN155" t="s">
        <v>53</v>
      </c>
    </row>
    <row r="157" spans="40:44" x14ac:dyDescent="0.25">
      <c r="AN157" t="s">
        <v>47</v>
      </c>
      <c r="AO157">
        <f>75*25</f>
        <v>1875</v>
      </c>
      <c r="AR157">
        <f>(PI()*12.9^2/4*4-PI()*12.5^2/4*3.75)*1</f>
        <v>62.598197118185169</v>
      </c>
    </row>
    <row r="158" spans="40:44" x14ac:dyDescent="0.25">
      <c r="AN158" t="s">
        <v>51</v>
      </c>
      <c r="AO158" s="30">
        <f>PI()*12.5^2/4*3.5*10</f>
        <v>4295.1462060797949</v>
      </c>
    </row>
    <row r="159" spans="40:44" x14ac:dyDescent="0.25">
      <c r="AO159" s="30">
        <f>AO157+AO158</f>
        <v>6170.1462060797949</v>
      </c>
      <c r="AQ159">
        <v>520</v>
      </c>
      <c r="AR159">
        <f>AO159/AQ159</f>
        <v>11.865665780922683</v>
      </c>
    </row>
    <row r="160" spans="40:44" x14ac:dyDescent="0.25">
      <c r="AO160">
        <v>12</v>
      </c>
    </row>
    <row r="162" spans="40:44" x14ac:dyDescent="0.25">
      <c r="AO162">
        <f>AO159/AO160</f>
        <v>514.17885050664961</v>
      </c>
      <c r="AP162" t="s">
        <v>27</v>
      </c>
    </row>
    <row r="163" spans="40:44" x14ac:dyDescent="0.25">
      <c r="AO163">
        <f>AO162/10</f>
        <v>51.417885050664964</v>
      </c>
      <c r="AP163" t="s">
        <v>49</v>
      </c>
    </row>
    <row r="165" spans="40:44" x14ac:dyDescent="0.25">
      <c r="AO165">
        <f>AO159*100</f>
        <v>617014.62060797948</v>
      </c>
    </row>
    <row r="166" spans="40:44" x14ac:dyDescent="0.25">
      <c r="AO166">
        <f>PI()*16.5^2/4</f>
        <v>213.8246499849553</v>
      </c>
    </row>
    <row r="168" spans="40:44" x14ac:dyDescent="0.25">
      <c r="AO168">
        <f>AO165/AO166/10000</f>
        <v>0.28856103384310117</v>
      </c>
      <c r="AP168" t="s">
        <v>50</v>
      </c>
    </row>
    <row r="170" spans="40:44" x14ac:dyDescent="0.25">
      <c r="AN170" s="14" t="s">
        <v>52</v>
      </c>
    </row>
    <row r="172" spans="40:44" x14ac:dyDescent="0.25">
      <c r="AN172" t="s">
        <v>47</v>
      </c>
      <c r="AO172">
        <f>669.4*25</f>
        <v>16735</v>
      </c>
      <c r="AR172">
        <f>(PI()*12.9^2/4*4-PI()*12.5^2/4*3.75)*1</f>
        <v>62.598197118185169</v>
      </c>
    </row>
    <row r="173" spans="40:44" x14ac:dyDescent="0.25">
      <c r="AN173" t="s">
        <v>51</v>
      </c>
      <c r="AO173" s="30">
        <f>16.8*7.8*5*2*10</f>
        <v>13103.999999999998</v>
      </c>
    </row>
    <row r="174" spans="40:44" x14ac:dyDescent="0.25">
      <c r="AO174" s="30">
        <f>AO172+AO173</f>
        <v>29839</v>
      </c>
      <c r="AQ174">
        <v>520</v>
      </c>
      <c r="AR174">
        <f>AO174/AQ174</f>
        <v>57.382692307692309</v>
      </c>
    </row>
    <row r="175" spans="40:44" x14ac:dyDescent="0.25">
      <c r="AO175">
        <v>12</v>
      </c>
    </row>
    <row r="177" spans="40:44" x14ac:dyDescent="0.25">
      <c r="AO177">
        <f>AO174/AO175</f>
        <v>2486.5833333333335</v>
      </c>
      <c r="AP177" t="s">
        <v>27</v>
      </c>
    </row>
    <row r="178" spans="40:44" x14ac:dyDescent="0.25">
      <c r="AO178">
        <f>AO177/10</f>
        <v>248.65833333333336</v>
      </c>
      <c r="AP178" t="s">
        <v>49</v>
      </c>
    </row>
    <row r="180" spans="40:44" x14ac:dyDescent="0.25">
      <c r="AO180">
        <f>AO174*100</f>
        <v>2983900</v>
      </c>
    </row>
    <row r="181" spans="40:44" x14ac:dyDescent="0.25">
      <c r="AO181">
        <f>PI()*16.5^2/4</f>
        <v>213.8246499849553</v>
      </c>
    </row>
    <row r="183" spans="40:44" x14ac:dyDescent="0.25">
      <c r="AO183">
        <f>AO180/AO181/10000</f>
        <v>1.3954892479468326</v>
      </c>
      <c r="AP183" t="s">
        <v>50</v>
      </c>
    </row>
    <row r="185" spans="40:44" x14ac:dyDescent="0.25">
      <c r="AN185" s="14" t="s">
        <v>54</v>
      </c>
    </row>
    <row r="187" spans="40:44" x14ac:dyDescent="0.25">
      <c r="AN187" t="s">
        <v>47</v>
      </c>
      <c r="AO187">
        <f>20.5*25</f>
        <v>512.5</v>
      </c>
      <c r="AR187">
        <f>(PI()*12.9^2/4*4-PI()*12.5^2/4*3.75)*1</f>
        <v>62.598197118185169</v>
      </c>
    </row>
    <row r="188" spans="40:44" x14ac:dyDescent="0.25">
      <c r="AN188" t="s">
        <v>51</v>
      </c>
      <c r="AO188" s="30">
        <f>2.9*2.8*3.16*10</f>
        <v>256.59199999999998</v>
      </c>
    </row>
    <row r="189" spans="40:44" x14ac:dyDescent="0.25">
      <c r="AO189" s="30">
        <f>AO187+AO188</f>
        <v>769.09199999999998</v>
      </c>
      <c r="AQ189">
        <v>280</v>
      </c>
      <c r="AR189">
        <f>AO189/AQ189</f>
        <v>2.7467571428571427</v>
      </c>
    </row>
    <row r="190" spans="40:44" x14ac:dyDescent="0.25">
      <c r="AO190">
        <v>12</v>
      </c>
    </row>
    <row r="192" spans="40:44" x14ac:dyDescent="0.25">
      <c r="AO192">
        <f>AO189/AO190</f>
        <v>64.090999999999994</v>
      </c>
      <c r="AP192" t="s">
        <v>27</v>
      </c>
    </row>
    <row r="193" spans="41:42" x14ac:dyDescent="0.25">
      <c r="AO193">
        <f>AO192/10</f>
        <v>6.4090999999999996</v>
      </c>
      <c r="AP193" t="s">
        <v>49</v>
      </c>
    </row>
    <row r="195" spans="41:42" x14ac:dyDescent="0.25">
      <c r="AO195">
        <f>AO189*100</f>
        <v>76909.2</v>
      </c>
    </row>
    <row r="196" spans="41:42" x14ac:dyDescent="0.25">
      <c r="AO196">
        <f>PI()*16.5^2/4</f>
        <v>213.8246499849553</v>
      </c>
    </row>
    <row r="198" spans="41:42" x14ac:dyDescent="0.25">
      <c r="AO198">
        <f>AO195/AO196/10000</f>
        <v>3.5968350704846858E-2</v>
      </c>
      <c r="AP198" t="s">
        <v>50</v>
      </c>
    </row>
  </sheetData>
  <mergeCells count="133">
    <mergeCell ref="V81:W81"/>
    <mergeCell ref="AA81:AB81"/>
    <mergeCell ref="AD81:AE81"/>
    <mergeCell ref="AF81:AG81"/>
    <mergeCell ref="K78:L78"/>
    <mergeCell ref="K79:L79"/>
    <mergeCell ref="K80:L80"/>
    <mergeCell ref="K81:L81"/>
    <mergeCell ref="M78:O78"/>
    <mergeCell ref="M79:O79"/>
    <mergeCell ref="M80:O80"/>
    <mergeCell ref="M81:O81"/>
    <mergeCell ref="V80:W80"/>
    <mergeCell ref="AA80:AB80"/>
    <mergeCell ref="AD80:AE80"/>
    <mergeCell ref="AF80:AG80"/>
    <mergeCell ref="V79:W79"/>
    <mergeCell ref="AA79:AB79"/>
    <mergeCell ref="AD79:AE79"/>
    <mergeCell ref="AF79:AG79"/>
    <mergeCell ref="V78:W78"/>
    <mergeCell ref="AA78:AB78"/>
    <mergeCell ref="AD78:AE78"/>
    <mergeCell ref="AF78:AG78"/>
    <mergeCell ref="U38:V38"/>
    <mergeCell ref="W38:X38"/>
    <mergeCell ref="V30:W30"/>
    <mergeCell ref="V31:W31"/>
    <mergeCell ref="V32:W32"/>
    <mergeCell ref="R24:S24"/>
    <mergeCell ref="R25:S25"/>
    <mergeCell ref="X36:Y36"/>
    <mergeCell ref="AC36:AD36"/>
    <mergeCell ref="U37:V37"/>
    <mergeCell ref="X37:Y37"/>
    <mergeCell ref="AA30:AB30"/>
    <mergeCell ref="AF30:AG30"/>
    <mergeCell ref="AD30:AE30"/>
    <mergeCell ref="AA31:AB31"/>
    <mergeCell ref="AD31:AE31"/>
    <mergeCell ref="AF31:AG31"/>
    <mergeCell ref="AA32:AB32"/>
    <mergeCell ref="AD32:AE32"/>
    <mergeCell ref="U36:V36"/>
    <mergeCell ref="AF32:AG32"/>
    <mergeCell ref="E36:F36"/>
    <mergeCell ref="G36:H36"/>
    <mergeCell ref="N36:O36"/>
    <mergeCell ref="P45:Q45"/>
    <mergeCell ref="L23:M23"/>
    <mergeCell ref="O23:P23"/>
    <mergeCell ref="E30:F30"/>
    <mergeCell ref="G30:H30"/>
    <mergeCell ref="N30:O30"/>
    <mergeCell ref="N31:O31"/>
    <mergeCell ref="G31:H31"/>
    <mergeCell ref="E31:F31"/>
    <mergeCell ref="E32:F32"/>
    <mergeCell ref="G32:H32"/>
    <mergeCell ref="N32:O32"/>
    <mergeCell ref="E35:F35"/>
    <mergeCell ref="G35:H35"/>
    <mergeCell ref="N35:O35"/>
    <mergeCell ref="D49:E49"/>
    <mergeCell ref="AA69:AD69"/>
    <mergeCell ref="AA58:AD58"/>
    <mergeCell ref="E37:F37"/>
    <mergeCell ref="G37:H37"/>
    <mergeCell ref="N37:O37"/>
    <mergeCell ref="C51:F51"/>
    <mergeCell ref="O51:R51"/>
    <mergeCell ref="AA51:AD51"/>
    <mergeCell ref="J50:L50"/>
    <mergeCell ref="V50:X50"/>
    <mergeCell ref="J65:L65"/>
    <mergeCell ref="C20:E20"/>
    <mergeCell ref="AE20:AG20"/>
    <mergeCell ref="AA70:AD70"/>
    <mergeCell ref="AB72:AC72"/>
    <mergeCell ref="AB74:AC74"/>
    <mergeCell ref="AA59:AD59"/>
    <mergeCell ref="C57:F57"/>
    <mergeCell ref="J59:L59"/>
    <mergeCell ref="J54:L54"/>
    <mergeCell ref="AB49:AC49"/>
    <mergeCell ref="D50:E50"/>
    <mergeCell ref="T50:U50"/>
    <mergeCell ref="T51:U51"/>
    <mergeCell ref="P49:Q49"/>
    <mergeCell ref="J49:L49"/>
    <mergeCell ref="V49:X49"/>
    <mergeCell ref="O58:R58"/>
    <mergeCell ref="C59:F59"/>
    <mergeCell ref="O59:R59"/>
    <mergeCell ref="J46:L46"/>
    <mergeCell ref="V46:X46"/>
    <mergeCell ref="E72:F72"/>
    <mergeCell ref="R72:T72"/>
    <mergeCell ref="E74:F74"/>
    <mergeCell ref="E13:E15"/>
    <mergeCell ref="Q13:Q15"/>
    <mergeCell ref="S13:S15"/>
    <mergeCell ref="AE13:AE15"/>
    <mergeCell ref="X10:Z10"/>
    <mergeCell ref="T59:U59"/>
    <mergeCell ref="AH18:AH20"/>
    <mergeCell ref="AH13:AH15"/>
    <mergeCell ref="AH8:AH10"/>
    <mergeCell ref="J13:L15"/>
    <mergeCell ref="X13:Z15"/>
    <mergeCell ref="AC34:AD34"/>
    <mergeCell ref="J18:L18"/>
    <mergeCell ref="J10:L10"/>
    <mergeCell ref="X18:Z18"/>
    <mergeCell ref="J20:L20"/>
    <mergeCell ref="X20:Z20"/>
    <mergeCell ref="Q20:S20"/>
    <mergeCell ref="O50:R50"/>
    <mergeCell ref="AA50:AD50"/>
    <mergeCell ref="R23:S23"/>
    <mergeCell ref="D58:E58"/>
    <mergeCell ref="J57:L57"/>
    <mergeCell ref="P57:Q57"/>
    <mergeCell ref="R74:T74"/>
    <mergeCell ref="C68:F68"/>
    <mergeCell ref="J68:L68"/>
    <mergeCell ref="P68:Q68"/>
    <mergeCell ref="D69:E69"/>
    <mergeCell ref="O69:R69"/>
    <mergeCell ref="C70:F70"/>
    <mergeCell ref="J70:L70"/>
    <mergeCell ref="O70:R70"/>
    <mergeCell ref="T70:U70"/>
  </mergeCells>
  <printOptions horizontalCentered="1"/>
  <pageMargins left="0.31496062992125984" right="0.31496062992125984" top="0.59055118110236227" bottom="0.59055118110236227" header="0.31496062992125984" footer="0.31496062992125984"/>
  <pageSetup paperSize="9" orientation="portrait" r:id="rId1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1"/>
  <sheetViews>
    <sheetView view="pageBreakPreview" topLeftCell="A4" zoomScaleNormal="100" zoomScaleSheetLayoutView="100" workbookViewId="0">
      <selection activeCell="A64" sqref="A64:M67"/>
    </sheetView>
  </sheetViews>
  <sheetFormatPr defaultRowHeight="15" x14ac:dyDescent="0.25"/>
  <cols>
    <col min="1" max="1" width="7.7109375" customWidth="1"/>
    <col min="2" max="2" width="7" customWidth="1"/>
    <col min="3" max="3" width="7.7109375" customWidth="1"/>
    <col min="4" max="4" width="5.7109375" customWidth="1"/>
    <col min="5" max="5" width="7.7109375" customWidth="1"/>
    <col min="6" max="6" width="10.5703125" customWidth="1"/>
    <col min="7" max="7" width="3.28515625" customWidth="1"/>
    <col min="8" max="8" width="7.7109375" customWidth="1"/>
    <col min="9" max="9" width="6.7109375" customWidth="1"/>
    <col min="10" max="10" width="7.7109375" customWidth="1"/>
    <col min="11" max="11" width="5.7109375" customWidth="1"/>
    <col min="12" max="12" width="7.7109375" customWidth="1"/>
    <col min="13" max="13" width="10.5703125" customWidth="1"/>
  </cols>
  <sheetData>
    <row r="1" spans="1:18" x14ac:dyDescent="0.25">
      <c r="A1" s="99" t="s">
        <v>55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8" ht="15" customHeight="1" x14ac:dyDescent="0.25">
      <c r="A2" s="99" t="s">
        <v>56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8" x14ac:dyDescent="0.25">
      <c r="A3" s="99" t="s">
        <v>57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8" ht="14.25" customHeight="1" x14ac:dyDescent="0.25">
      <c r="A4" s="99" t="s">
        <v>28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</row>
    <row r="5" spans="1:18" ht="14.25" customHeight="1" x14ac:dyDescent="0.25">
      <c r="A5" s="98" t="s">
        <v>59</v>
      </c>
      <c r="B5" s="98"/>
      <c r="C5" s="98"/>
      <c r="D5" s="98"/>
      <c r="E5" s="98"/>
      <c r="F5" s="98"/>
      <c r="G5" s="32"/>
      <c r="H5" s="98" t="s">
        <v>60</v>
      </c>
      <c r="I5" s="98"/>
      <c r="J5" s="98"/>
      <c r="K5" s="98"/>
      <c r="L5" s="98"/>
      <c r="M5" s="98"/>
    </row>
    <row r="6" spans="1:18" ht="14.25" customHeight="1" x14ac:dyDescent="0.25">
      <c r="A6" s="63" t="s">
        <v>61</v>
      </c>
      <c r="B6" s="63">
        <f>'[1]T. PRISMÁTICO'!M8</f>
        <v>40</v>
      </c>
      <c r="C6" s="63" t="s">
        <v>62</v>
      </c>
      <c r="D6" s="63" t="s">
        <v>63</v>
      </c>
      <c r="E6" s="64">
        <f>0.85*B6/10/B8</f>
        <v>2.4285714285714288</v>
      </c>
      <c r="F6" s="63" t="s">
        <v>64</v>
      </c>
      <c r="G6" s="32"/>
      <c r="H6" s="63" t="s">
        <v>61</v>
      </c>
      <c r="I6" s="63">
        <f>B6</f>
        <v>40</v>
      </c>
      <c r="J6" s="63" t="s">
        <v>62</v>
      </c>
      <c r="K6" s="63" t="s">
        <v>63</v>
      </c>
      <c r="L6" s="64">
        <f>0.85*I6/10/I8</f>
        <v>2.4285714285714288</v>
      </c>
      <c r="M6" s="63" t="s">
        <v>64</v>
      </c>
      <c r="R6" s="3"/>
    </row>
    <row r="7" spans="1:18" ht="14.25" customHeight="1" x14ac:dyDescent="0.25">
      <c r="A7" s="63" t="s">
        <v>65</v>
      </c>
      <c r="B7" s="63">
        <f>'[1]T. PRISMÁTICO'!M9/10</f>
        <v>50</v>
      </c>
      <c r="C7" s="63" t="s">
        <v>64</v>
      </c>
      <c r="D7" s="63" t="s">
        <v>66</v>
      </c>
      <c r="E7" s="64">
        <f>B7/B9</f>
        <v>43.478260869565219</v>
      </c>
      <c r="F7" s="63" t="s">
        <v>64</v>
      </c>
      <c r="G7" s="32"/>
      <c r="H7" s="63" t="s">
        <v>65</v>
      </c>
      <c r="I7" s="63">
        <f>B7</f>
        <v>50</v>
      </c>
      <c r="J7" s="63" t="s">
        <v>64</v>
      </c>
      <c r="K7" s="63" t="s">
        <v>66</v>
      </c>
      <c r="L7" s="64">
        <f>I7/I9</f>
        <v>43.478260869565219</v>
      </c>
      <c r="M7" s="63" t="s">
        <v>64</v>
      </c>
      <c r="R7" s="3"/>
    </row>
    <row r="8" spans="1:18" ht="14.25" customHeight="1" x14ac:dyDescent="0.25">
      <c r="A8" s="63" t="s">
        <v>67</v>
      </c>
      <c r="B8" s="63">
        <v>1.4</v>
      </c>
      <c r="C8" s="63"/>
      <c r="D8" s="63" t="s">
        <v>68</v>
      </c>
      <c r="E8" s="63">
        <f>B10*B15*100</f>
        <v>645.3125</v>
      </c>
      <c r="F8" s="63" t="s">
        <v>69</v>
      </c>
      <c r="G8" s="32"/>
      <c r="H8" s="63" t="s">
        <v>67</v>
      </c>
      <c r="I8" s="63">
        <v>1.4</v>
      </c>
      <c r="J8" s="63"/>
      <c r="K8" s="63" t="s">
        <v>68</v>
      </c>
      <c r="L8" s="63">
        <f>I10*I15*100</f>
        <v>173.46</v>
      </c>
      <c r="M8" s="63" t="s">
        <v>69</v>
      </c>
      <c r="R8" s="3"/>
    </row>
    <row r="9" spans="1:18" ht="14.25" customHeight="1" x14ac:dyDescent="0.25">
      <c r="A9" s="63" t="s">
        <v>70</v>
      </c>
      <c r="B9" s="63">
        <v>1.1499999999999999</v>
      </c>
      <c r="C9" s="63"/>
      <c r="D9" s="63" t="s">
        <v>71</v>
      </c>
      <c r="E9" s="65">
        <f>SQRT(E8/E6/B11/B14)</f>
        <v>2.658371520814641</v>
      </c>
      <c r="F9" s="63" t="s">
        <v>72</v>
      </c>
      <c r="G9" s="32"/>
      <c r="H9" s="63" t="s">
        <v>70</v>
      </c>
      <c r="I9" s="63">
        <v>1.1499999999999999</v>
      </c>
      <c r="J9" s="63"/>
      <c r="K9" s="63" t="s">
        <v>71</v>
      </c>
      <c r="L9" s="65">
        <f>SQRT(L8/L6/I11/I14)</f>
        <v>1.3782573205145474</v>
      </c>
      <c r="M9" s="63" t="s">
        <v>72</v>
      </c>
      <c r="R9" s="3"/>
    </row>
    <row r="10" spans="1:18" ht="14.25" customHeight="1" x14ac:dyDescent="0.25">
      <c r="A10" s="63" t="s">
        <v>73</v>
      </c>
      <c r="B10" s="63">
        <v>1.4</v>
      </c>
      <c r="C10" s="63"/>
      <c r="D10" s="63" t="s">
        <v>74</v>
      </c>
      <c r="E10" s="63">
        <f>B12-B13</f>
        <v>16.5</v>
      </c>
      <c r="F10" s="63" t="s">
        <v>72</v>
      </c>
      <c r="G10" s="32"/>
      <c r="H10" s="63" t="s">
        <v>73</v>
      </c>
      <c r="I10" s="63">
        <v>1.4</v>
      </c>
      <c r="J10" s="63"/>
      <c r="K10" s="63" t="s">
        <v>74</v>
      </c>
      <c r="L10" s="63">
        <f>I12-I13</f>
        <v>16.5</v>
      </c>
      <c r="M10" s="63" t="s">
        <v>72</v>
      </c>
      <c r="R10" s="3"/>
    </row>
    <row r="11" spans="1:18" ht="14.25" customHeight="1" x14ac:dyDescent="0.25">
      <c r="A11" s="63" t="s">
        <v>75</v>
      </c>
      <c r="B11" s="64">
        <v>100</v>
      </c>
      <c r="C11" s="63" t="s">
        <v>72</v>
      </c>
      <c r="D11" s="63" t="s">
        <v>76</v>
      </c>
      <c r="E11" s="66">
        <f>E8/E6/B11/E10^2</f>
        <v>9.7600334899800127E-3</v>
      </c>
      <c r="F11" s="63"/>
      <c r="G11" s="32"/>
      <c r="H11" s="63" t="s">
        <v>75</v>
      </c>
      <c r="I11" s="63">
        <v>100</v>
      </c>
      <c r="J11" s="63" t="s">
        <v>72</v>
      </c>
      <c r="K11" s="63" t="s">
        <v>76</v>
      </c>
      <c r="L11" s="66">
        <f>L8/L6/I11/L10^2</f>
        <v>2.6234970021066276E-3</v>
      </c>
      <c r="M11" s="63"/>
      <c r="R11" s="3"/>
    </row>
    <row r="12" spans="1:18" ht="14.25" customHeight="1" x14ac:dyDescent="0.25">
      <c r="A12" s="63" t="s">
        <v>77</v>
      </c>
      <c r="B12" s="64">
        <f>'[1]T. PRISMÁTICO'!K24*100</f>
        <v>20</v>
      </c>
      <c r="C12" s="63" t="s">
        <v>72</v>
      </c>
      <c r="D12" s="63" t="s">
        <v>78</v>
      </c>
      <c r="E12" s="66">
        <f>IF(E11&gt;B14,B14,E11)</f>
        <v>9.7600334899800127E-3</v>
      </c>
      <c r="F12" s="63"/>
      <c r="G12" s="32"/>
      <c r="H12" s="63" t="s">
        <v>77</v>
      </c>
      <c r="I12" s="64">
        <f>B12</f>
        <v>20</v>
      </c>
      <c r="J12" s="63" t="s">
        <v>72</v>
      </c>
      <c r="K12" s="63" t="s">
        <v>78</v>
      </c>
      <c r="L12" s="66">
        <f>IF(L11&gt;I14,I14,L11)</f>
        <v>2.6234970021066276E-3</v>
      </c>
      <c r="M12" s="63"/>
      <c r="R12" s="3"/>
    </row>
    <row r="13" spans="1:18" ht="14.25" customHeight="1" x14ac:dyDescent="0.3">
      <c r="A13" s="63" t="s">
        <v>79</v>
      </c>
      <c r="B13" s="64">
        <v>3.5</v>
      </c>
      <c r="C13" s="63"/>
      <c r="D13" s="63" t="s">
        <v>80</v>
      </c>
      <c r="E13" s="64">
        <f>E6*B11*E10/E7*(1-SQRT(1-2*E12))</f>
        <v>0.90395959321330799</v>
      </c>
      <c r="F13" s="63" t="s">
        <v>81</v>
      </c>
      <c r="G13" s="32"/>
      <c r="H13" s="63" t="s">
        <v>79</v>
      </c>
      <c r="I13" s="64">
        <f>B13</f>
        <v>3.5</v>
      </c>
      <c r="J13" s="63"/>
      <c r="K13" s="63" t="s">
        <v>80</v>
      </c>
      <c r="L13" s="64">
        <f>L6*I11*L10/L7*(1-SQRT(1-2*L12))</f>
        <v>0.24211073335692809</v>
      </c>
      <c r="M13" s="63" t="s">
        <v>81</v>
      </c>
      <c r="R13" s="3"/>
    </row>
    <row r="14" spans="1:18" ht="14.25" customHeight="1" x14ac:dyDescent="0.3">
      <c r="A14" s="63" t="s">
        <v>82</v>
      </c>
      <c r="B14" s="63">
        <v>0.376</v>
      </c>
      <c r="C14" s="63"/>
      <c r="D14" s="63" t="s">
        <v>83</v>
      </c>
      <c r="E14" s="64">
        <f>E6*B11*E10/E7*(E11-E12)/(1-B13/E10)</f>
        <v>0</v>
      </c>
      <c r="F14" s="63" t="s">
        <v>81</v>
      </c>
      <c r="G14" s="32"/>
      <c r="H14" s="63" t="s">
        <v>82</v>
      </c>
      <c r="I14" s="63">
        <v>0.376</v>
      </c>
      <c r="J14" s="63"/>
      <c r="K14" s="63" t="s">
        <v>83</v>
      </c>
      <c r="L14" s="64">
        <f>L6*I11*L10/L7*(L11-L12)/(1-I13/L10)</f>
        <v>0</v>
      </c>
      <c r="M14" s="63" t="s">
        <v>81</v>
      </c>
      <c r="R14" s="3"/>
    </row>
    <row r="15" spans="1:18" ht="14.25" customHeight="1" x14ac:dyDescent="0.25">
      <c r="A15" s="63" t="s">
        <v>84</v>
      </c>
      <c r="B15" s="64">
        <f>Plan1!N30</f>
        <v>4.609375</v>
      </c>
      <c r="C15" s="63" t="s">
        <v>85</v>
      </c>
      <c r="D15" s="38" t="s">
        <v>86</v>
      </c>
      <c r="E15" s="39">
        <f>E13+E14</f>
        <v>0.90395959321330799</v>
      </c>
      <c r="F15" s="38" t="s">
        <v>81</v>
      </c>
      <c r="G15" s="32"/>
      <c r="H15" s="63" t="s">
        <v>84</v>
      </c>
      <c r="I15" s="64">
        <f>Plan1!N31</f>
        <v>1.2390000000000001</v>
      </c>
      <c r="J15" s="63" t="s">
        <v>85</v>
      </c>
      <c r="K15" s="38" t="s">
        <v>86</v>
      </c>
      <c r="L15" s="39">
        <f>L13+L14</f>
        <v>0.24211073335692809</v>
      </c>
      <c r="M15" s="38" t="s">
        <v>81</v>
      </c>
      <c r="R15" s="3"/>
    </row>
    <row r="16" spans="1:18" x14ac:dyDescent="0.25">
      <c r="A16" s="63"/>
      <c r="B16" s="63"/>
      <c r="C16" s="63"/>
      <c r="D16" s="38" t="s">
        <v>87</v>
      </c>
      <c r="E16" s="39">
        <f>E14</f>
        <v>0</v>
      </c>
      <c r="F16" s="38" t="s">
        <v>81</v>
      </c>
      <c r="G16" s="32"/>
      <c r="H16" s="63"/>
      <c r="I16" s="63"/>
      <c r="J16" s="63"/>
      <c r="K16" s="38" t="s">
        <v>87</v>
      </c>
      <c r="L16" s="39">
        <f>L14</f>
        <v>0</v>
      </c>
      <c r="M16" s="38" t="s">
        <v>81</v>
      </c>
    </row>
    <row r="17" spans="1:13" x14ac:dyDescent="0.25">
      <c r="A17" s="96" t="s">
        <v>88</v>
      </c>
      <c r="B17" s="96"/>
      <c r="C17" s="96"/>
      <c r="D17" s="96"/>
      <c r="E17" s="96"/>
      <c r="F17" s="96"/>
      <c r="G17" s="32"/>
      <c r="H17" s="96" t="s">
        <v>88</v>
      </c>
      <c r="I17" s="96"/>
      <c r="J17" s="96"/>
      <c r="K17" s="96"/>
      <c r="L17" s="96"/>
      <c r="M17" s="96"/>
    </row>
    <row r="18" spans="1:13" x14ac:dyDescent="0.25">
      <c r="A18" s="41" t="s">
        <v>89</v>
      </c>
      <c r="B18" s="41">
        <f>0.25*B11*B12</f>
        <v>500</v>
      </c>
      <c r="C18" s="41" t="s">
        <v>81</v>
      </c>
      <c r="D18" s="41" t="s">
        <v>90</v>
      </c>
      <c r="E18" s="41">
        <f>'[1]T. PRISMÁTICO'!M17</f>
        <v>0.125</v>
      </c>
      <c r="F18" s="41" t="s">
        <v>91</v>
      </c>
      <c r="G18" s="32"/>
      <c r="H18" s="41" t="s">
        <v>89</v>
      </c>
      <c r="I18" s="41">
        <f>0.25*I11*I12</f>
        <v>500</v>
      </c>
      <c r="J18" s="41" t="s">
        <v>81</v>
      </c>
      <c r="K18" s="41" t="s">
        <v>90</v>
      </c>
      <c r="L18" s="41">
        <f>'[1]T. PRISMÁTICO'!M17</f>
        <v>0.125</v>
      </c>
      <c r="M18" s="41" t="s">
        <v>91</v>
      </c>
    </row>
    <row r="19" spans="1:13" x14ac:dyDescent="0.25">
      <c r="A19" s="41" t="s">
        <v>92</v>
      </c>
      <c r="B19" s="67">
        <f>E15/B18</f>
        <v>1.807919186426616E-3</v>
      </c>
      <c r="C19" s="41"/>
      <c r="D19" s="41" t="s">
        <v>93</v>
      </c>
      <c r="E19" s="67">
        <f>E7*(B21/10)/20/B10/(B20-0.375)/B22/(E18/10)</f>
        <v>3.3126293995859213E-3</v>
      </c>
      <c r="F19" s="41"/>
      <c r="G19" s="32"/>
      <c r="H19" s="41" t="s">
        <v>92</v>
      </c>
      <c r="I19" s="67">
        <f>L15/I18</f>
        <v>4.8422146671385621E-4</v>
      </c>
      <c r="J19" s="41"/>
      <c r="K19" s="41" t="s">
        <v>93</v>
      </c>
      <c r="L19" s="67">
        <f>L7*(I21/10)/20/I10/(I20-0.375)/I22/(L18/10)</f>
        <v>3.3126293995859213E-3</v>
      </c>
      <c r="M19" s="41"/>
    </row>
    <row r="20" spans="1:13" x14ac:dyDescent="0.25">
      <c r="A20" s="41" t="s">
        <v>94</v>
      </c>
      <c r="B20" s="41">
        <v>1.5</v>
      </c>
      <c r="C20" s="41"/>
      <c r="D20" s="41" t="s">
        <v>95</v>
      </c>
      <c r="E20" s="68">
        <f>IF(22.5*E19+SQRT((22.5*E19)^2+4*E19/B19)&lt;1,1,22.5*E19+SQRT((22.5*E19)^2+4*E19/B19))</f>
        <v>2.7828009584210291</v>
      </c>
      <c r="F20" s="41"/>
      <c r="G20" s="32"/>
      <c r="H20" s="41" t="s">
        <v>94</v>
      </c>
      <c r="I20" s="41">
        <v>1.5</v>
      </c>
      <c r="J20" s="41"/>
      <c r="K20" s="41" t="s">
        <v>95</v>
      </c>
      <c r="L20" s="68">
        <f>IF(22.5*L19+SQRT((22.5*L19)^2+4*L19/I19)&lt;1,1,22.5*L19+SQRT((22.5*L19)^2+4*L19/I19))</f>
        <v>5.3061817457176872</v>
      </c>
      <c r="M20" s="41"/>
    </row>
    <row r="21" spans="1:13" x14ac:dyDescent="0.25">
      <c r="A21" s="41" t="s">
        <v>96</v>
      </c>
      <c r="B21" s="69">
        <f>Plan1!AA30</f>
        <v>6.3</v>
      </c>
      <c r="C21" s="41" t="s">
        <v>91</v>
      </c>
      <c r="D21" s="41" t="s">
        <v>97</v>
      </c>
      <c r="E21" s="68">
        <f>IF(SQRT(3*E19*E7/B10/(B6/100))&lt;1,1,SQRT(3*E19*E7/B10/(B6/100)))</f>
        <v>1</v>
      </c>
      <c r="F21" s="41"/>
      <c r="G21" s="32"/>
      <c r="H21" s="41" t="s">
        <v>96</v>
      </c>
      <c r="I21" s="69">
        <f>Plan1!AA31</f>
        <v>6.3</v>
      </c>
      <c r="J21" s="41" t="s">
        <v>91</v>
      </c>
      <c r="K21" s="41" t="s">
        <v>97</v>
      </c>
      <c r="L21" s="68">
        <f>IF(SQRT(3*L19*L7/I10/(I6/100))&lt;1,1,SQRT(3*L19*L7/I10/(I6/100)))</f>
        <v>1</v>
      </c>
      <c r="M21" s="41"/>
    </row>
    <row r="22" spans="1:13" x14ac:dyDescent="0.25">
      <c r="A22" s="41" t="s">
        <v>98</v>
      </c>
      <c r="B22" s="41">
        <f>'[1]T. PRISMÁTICO'!M12*100</f>
        <v>21000</v>
      </c>
      <c r="C22" s="41" t="s">
        <v>99</v>
      </c>
      <c r="D22" s="70" t="s">
        <v>100</v>
      </c>
      <c r="E22" s="71">
        <f>IF(E20&gt;E21,E21,E20)</f>
        <v>1</v>
      </c>
      <c r="F22" s="41"/>
      <c r="G22" s="32"/>
      <c r="H22" s="3" t="s">
        <v>98</v>
      </c>
      <c r="I22" s="3">
        <f>'[1]T. PRISMÁTICO'!M12*100</f>
        <v>21000</v>
      </c>
      <c r="J22" s="3" t="s">
        <v>99</v>
      </c>
      <c r="K22" s="43" t="s">
        <v>100</v>
      </c>
      <c r="L22" s="44">
        <f>IF(L20&gt;L21,L21,L20)</f>
        <v>1</v>
      </c>
      <c r="M22" s="3"/>
    </row>
    <row r="23" spans="1:13" ht="18" x14ac:dyDescent="0.35">
      <c r="A23" s="3"/>
      <c r="B23" s="3"/>
      <c r="C23" s="3"/>
      <c r="D23" s="45" t="s">
        <v>101</v>
      </c>
      <c r="E23" s="46">
        <f>E22*E15</f>
        <v>0.90395959321330799</v>
      </c>
      <c r="F23" s="3"/>
      <c r="G23" s="32"/>
      <c r="H23" s="3"/>
      <c r="I23" s="3"/>
      <c r="J23" s="3"/>
      <c r="K23" s="45" t="s">
        <v>101</v>
      </c>
      <c r="L23" s="46">
        <f>L22*L15</f>
        <v>0.24211073335692809</v>
      </c>
      <c r="M23" s="3"/>
    </row>
    <row r="24" spans="1:13" x14ac:dyDescent="0.25">
      <c r="A24" s="63"/>
      <c r="B24" s="63"/>
      <c r="C24" s="63"/>
      <c r="D24" s="63"/>
      <c r="E24" s="63"/>
      <c r="F24" s="63"/>
      <c r="G24" s="32"/>
      <c r="H24" s="63" t="s">
        <v>102</v>
      </c>
      <c r="I24" s="63"/>
      <c r="J24" s="63"/>
      <c r="K24" s="63"/>
      <c r="L24" s="63"/>
      <c r="M24" s="63"/>
    </row>
    <row r="25" spans="1:13" x14ac:dyDescent="0.25">
      <c r="A25" s="98" t="s">
        <v>103</v>
      </c>
      <c r="B25" s="98"/>
      <c r="C25" s="98"/>
      <c r="D25" s="98"/>
      <c r="E25" s="98"/>
      <c r="F25" s="98"/>
      <c r="G25" s="32"/>
      <c r="H25" s="98"/>
      <c r="I25" s="98"/>
      <c r="J25" s="98"/>
      <c r="K25" s="98"/>
      <c r="L25" s="98"/>
      <c r="M25" s="98"/>
    </row>
    <row r="26" spans="1:13" x14ac:dyDescent="0.25">
      <c r="A26" t="s">
        <v>61</v>
      </c>
      <c r="B26">
        <f>B6</f>
        <v>40</v>
      </c>
      <c r="C26" t="s">
        <v>62</v>
      </c>
      <c r="D26" t="s">
        <v>63</v>
      </c>
      <c r="E26" s="34">
        <f>0.85*B26/10/B28</f>
        <v>2.4285714285714288</v>
      </c>
      <c r="F26" t="s">
        <v>64</v>
      </c>
      <c r="G26" s="32"/>
      <c r="H26" t="s">
        <v>61</v>
      </c>
      <c r="I26">
        <f>B26</f>
        <v>40</v>
      </c>
      <c r="J26" t="s">
        <v>62</v>
      </c>
      <c r="K26" t="s">
        <v>63</v>
      </c>
      <c r="L26" s="34">
        <f>0.85*I26/10/I28</f>
        <v>2.4285714285714288</v>
      </c>
      <c r="M26" t="s">
        <v>64</v>
      </c>
    </row>
    <row r="27" spans="1:13" x14ac:dyDescent="0.25">
      <c r="A27" t="s">
        <v>65</v>
      </c>
      <c r="B27">
        <f>B7</f>
        <v>50</v>
      </c>
      <c r="C27" t="s">
        <v>64</v>
      </c>
      <c r="D27" t="s">
        <v>66</v>
      </c>
      <c r="E27" s="34">
        <f>B27/B29</f>
        <v>43.478260869565219</v>
      </c>
      <c r="F27" t="s">
        <v>64</v>
      </c>
      <c r="G27" s="32"/>
      <c r="H27" t="s">
        <v>65</v>
      </c>
      <c r="I27">
        <f>B27</f>
        <v>50</v>
      </c>
      <c r="J27" t="s">
        <v>64</v>
      </c>
      <c r="K27" t="s">
        <v>66</v>
      </c>
      <c r="L27" s="34">
        <f>I27/I29</f>
        <v>43.478260869565219</v>
      </c>
      <c r="M27" t="s">
        <v>64</v>
      </c>
    </row>
    <row r="28" spans="1:13" x14ac:dyDescent="0.25">
      <c r="A28" t="s">
        <v>67</v>
      </c>
      <c r="B28">
        <v>1.4</v>
      </c>
      <c r="D28" t="s">
        <v>68</v>
      </c>
      <c r="E28">
        <f>B30*B35*100</f>
        <v>629.82500000000005</v>
      </c>
      <c r="F28" t="s">
        <v>69</v>
      </c>
      <c r="G28" s="32"/>
      <c r="H28" t="s">
        <v>67</v>
      </c>
      <c r="I28">
        <v>1.4</v>
      </c>
      <c r="K28" t="s">
        <v>68</v>
      </c>
      <c r="L28">
        <f>I30*I35*100</f>
        <v>6425.9999999999991</v>
      </c>
      <c r="M28" t="s">
        <v>69</v>
      </c>
    </row>
    <row r="29" spans="1:13" x14ac:dyDescent="0.25">
      <c r="A29" t="s">
        <v>70</v>
      </c>
      <c r="B29">
        <v>1.1499999999999999</v>
      </c>
      <c r="D29" t="s">
        <v>71</v>
      </c>
      <c r="E29" s="26">
        <f>SQRT(E28/E26/B31/B34)</f>
        <v>2.626277327940457</v>
      </c>
      <c r="F29" t="s">
        <v>72</v>
      </c>
      <c r="G29" s="32"/>
      <c r="H29" t="s">
        <v>70</v>
      </c>
      <c r="I29">
        <v>1.1499999999999999</v>
      </c>
      <c r="K29" t="s">
        <v>71</v>
      </c>
      <c r="L29" s="26">
        <f>SQRT(L28/L26/I31/I34)</f>
        <v>16.777644700676184</v>
      </c>
      <c r="M29" t="s">
        <v>72</v>
      </c>
    </row>
    <row r="30" spans="1:13" x14ac:dyDescent="0.25">
      <c r="A30" t="s">
        <v>73</v>
      </c>
      <c r="B30">
        <v>1.4</v>
      </c>
      <c r="D30" t="s">
        <v>74</v>
      </c>
      <c r="E30">
        <f>B32-B33</f>
        <v>16.5</v>
      </c>
      <c r="F30" t="s">
        <v>72</v>
      </c>
      <c r="G30" s="32"/>
      <c r="H30" t="s">
        <v>73</v>
      </c>
      <c r="I30">
        <v>1.4</v>
      </c>
      <c r="K30" t="s">
        <v>74</v>
      </c>
      <c r="L30">
        <f>I32-I33</f>
        <v>46.5</v>
      </c>
      <c r="M30" t="s">
        <v>72</v>
      </c>
    </row>
    <row r="31" spans="1:13" x14ac:dyDescent="0.25">
      <c r="A31" t="s">
        <v>75</v>
      </c>
      <c r="B31">
        <v>100</v>
      </c>
      <c r="C31" t="s">
        <v>72</v>
      </c>
      <c r="D31" t="s">
        <v>76</v>
      </c>
      <c r="E31" s="35">
        <f>E28/E26/B31/E30^2</f>
        <v>9.5257926862204918E-3</v>
      </c>
      <c r="G31" s="32"/>
      <c r="H31" t="s">
        <v>75</v>
      </c>
      <c r="I31" s="34">
        <v>25</v>
      </c>
      <c r="J31" t="s">
        <v>72</v>
      </c>
      <c r="K31" t="s">
        <v>76</v>
      </c>
      <c r="L31" s="35">
        <f>L28/L26/I31/L30^2</f>
        <v>4.8949011446409979E-2</v>
      </c>
    </row>
    <row r="32" spans="1:13" x14ac:dyDescent="0.25">
      <c r="A32" t="s">
        <v>77</v>
      </c>
      <c r="B32" s="34">
        <f>'[1]T. PRISMÁTICO'!K25*100</f>
        <v>20</v>
      </c>
      <c r="C32" t="s">
        <v>72</v>
      </c>
      <c r="D32" t="s">
        <v>78</v>
      </c>
      <c r="E32" s="35">
        <f>IF(E31&gt;B34,B34,E31)</f>
        <v>9.5257926862204918E-3</v>
      </c>
      <c r="G32" s="32"/>
      <c r="H32" t="s">
        <v>77</v>
      </c>
      <c r="I32" s="34">
        <v>50</v>
      </c>
      <c r="J32" t="s">
        <v>72</v>
      </c>
      <c r="K32" t="s">
        <v>78</v>
      </c>
      <c r="L32" s="35">
        <f>IF(L31&gt;I34,I34,L31)</f>
        <v>4.8949011446409979E-2</v>
      </c>
    </row>
    <row r="33" spans="1:18" ht="15.75" x14ac:dyDescent="0.3">
      <c r="A33" t="s">
        <v>79</v>
      </c>
      <c r="B33" s="34">
        <f>B13</f>
        <v>3.5</v>
      </c>
      <c r="D33" t="s">
        <v>80</v>
      </c>
      <c r="E33" s="34">
        <f>E26*B31*E30/E27*(1-SQRT(1-2*E32))</f>
        <v>0.88215971897111423</v>
      </c>
      <c r="F33" t="s">
        <v>81</v>
      </c>
      <c r="G33" s="32"/>
      <c r="H33" t="s">
        <v>79</v>
      </c>
      <c r="I33" s="34">
        <f>B33</f>
        <v>3.5</v>
      </c>
      <c r="K33" t="s">
        <v>80</v>
      </c>
      <c r="L33" s="34">
        <f>L26*I31*L30/L27*(1-SQRT(1-2*L32))</f>
        <v>3.2603006603076929</v>
      </c>
      <c r="M33" t="s">
        <v>81</v>
      </c>
    </row>
    <row r="34" spans="1:18" ht="15.75" x14ac:dyDescent="0.3">
      <c r="A34" s="63" t="s">
        <v>82</v>
      </c>
      <c r="B34" s="63">
        <v>0.376</v>
      </c>
      <c r="C34" s="63"/>
      <c r="D34" s="63" t="s">
        <v>83</v>
      </c>
      <c r="E34" s="64">
        <f>E26*B31*E30/E27*(E31-E32)/(1-B33/E30)</f>
        <v>0</v>
      </c>
      <c r="F34" s="63" t="s">
        <v>81</v>
      </c>
      <c r="G34" s="32"/>
      <c r="H34" t="s">
        <v>82</v>
      </c>
      <c r="I34">
        <v>0.376</v>
      </c>
      <c r="K34" t="s">
        <v>83</v>
      </c>
      <c r="L34" s="34">
        <f>L26*I31*L30/L27*(L31-L32)/(1-I33/L30)</f>
        <v>0</v>
      </c>
      <c r="M34" t="s">
        <v>81</v>
      </c>
    </row>
    <row r="35" spans="1:18" x14ac:dyDescent="0.25">
      <c r="A35" s="63" t="s">
        <v>84</v>
      </c>
      <c r="B35" s="64">
        <f>Plan1!N32</f>
        <v>4.4987500000000002</v>
      </c>
      <c r="C35" s="63" t="s">
        <v>85</v>
      </c>
      <c r="D35" s="38" t="s">
        <v>86</v>
      </c>
      <c r="E35" s="39">
        <f>E33+E34</f>
        <v>0.88215971897111423</v>
      </c>
      <c r="F35" s="38" t="s">
        <v>81</v>
      </c>
      <c r="G35" s="32"/>
      <c r="H35" s="63" t="s">
        <v>84</v>
      </c>
      <c r="I35" s="64">
        <f>Plan1!M78</f>
        <v>45.9</v>
      </c>
      <c r="J35" s="63" t="s">
        <v>85</v>
      </c>
      <c r="K35" s="38" t="s">
        <v>86</v>
      </c>
      <c r="L35" s="39">
        <f>L33+L34</f>
        <v>3.2603006603076929</v>
      </c>
      <c r="M35" s="38" t="s">
        <v>81</v>
      </c>
    </row>
    <row r="36" spans="1:18" x14ac:dyDescent="0.25">
      <c r="A36" s="63"/>
      <c r="B36" s="63"/>
      <c r="C36" s="63"/>
      <c r="D36" s="38" t="s">
        <v>87</v>
      </c>
      <c r="E36" s="39">
        <f>E34</f>
        <v>0</v>
      </c>
      <c r="F36" s="38" t="s">
        <v>81</v>
      </c>
      <c r="G36" s="32"/>
      <c r="H36" s="63"/>
      <c r="I36" s="63"/>
      <c r="J36" s="63"/>
      <c r="K36" s="38" t="s">
        <v>87</v>
      </c>
      <c r="L36" s="39">
        <f>L34</f>
        <v>0</v>
      </c>
      <c r="M36" s="38" t="s">
        <v>81</v>
      </c>
    </row>
    <row r="37" spans="1:18" x14ac:dyDescent="0.25">
      <c r="A37" s="96" t="s">
        <v>88</v>
      </c>
      <c r="B37" s="96"/>
      <c r="C37" s="96"/>
      <c r="D37" s="96"/>
      <c r="E37" s="96"/>
      <c r="F37" s="96"/>
      <c r="G37" s="32"/>
      <c r="H37" s="96" t="s">
        <v>88</v>
      </c>
      <c r="I37" s="96"/>
      <c r="J37" s="96"/>
      <c r="K37" s="96"/>
      <c r="L37" s="96"/>
      <c r="M37" s="96"/>
    </row>
    <row r="38" spans="1:18" x14ac:dyDescent="0.25">
      <c r="A38" s="41" t="s">
        <v>89</v>
      </c>
      <c r="B38" s="41">
        <f>0.25*B31*B32</f>
        <v>500</v>
      </c>
      <c r="C38" s="41" t="s">
        <v>81</v>
      </c>
      <c r="D38" s="41" t="s">
        <v>90</v>
      </c>
      <c r="E38" s="41">
        <f>'[1]T. PRISMÁTICO'!M17</f>
        <v>0.125</v>
      </c>
      <c r="F38" s="41" t="s">
        <v>91</v>
      </c>
      <c r="G38" s="32"/>
      <c r="H38" s="41" t="s">
        <v>89</v>
      </c>
      <c r="I38" s="41">
        <f>0.25*I31*I32</f>
        <v>312.5</v>
      </c>
      <c r="J38" s="41" t="s">
        <v>81</v>
      </c>
      <c r="K38" s="41" t="s">
        <v>90</v>
      </c>
      <c r="L38" s="41">
        <f>E38</f>
        <v>0.125</v>
      </c>
      <c r="M38" s="41" t="s">
        <v>91</v>
      </c>
    </row>
    <row r="39" spans="1:18" x14ac:dyDescent="0.25">
      <c r="A39" s="41" t="s">
        <v>92</v>
      </c>
      <c r="B39" s="67">
        <f>E35/B38</f>
        <v>1.7643194379422284E-3</v>
      </c>
      <c r="C39" s="41"/>
      <c r="D39" s="41" t="s">
        <v>93</v>
      </c>
      <c r="E39" s="67">
        <f>E27*(B41/10)/20/B30/(B40-0.375)/B42/(E38/10)</f>
        <v>3.3126293995859213E-3</v>
      </c>
      <c r="F39" s="41"/>
      <c r="G39" s="32"/>
      <c r="H39" s="41" t="s">
        <v>92</v>
      </c>
      <c r="I39" s="67">
        <f>L35/I38</f>
        <v>1.0432962112984617E-2</v>
      </c>
      <c r="J39" s="41"/>
      <c r="K39" s="41" t="s">
        <v>93</v>
      </c>
      <c r="L39" s="67">
        <f>L27*(I41/10)/20/I30/(I40-0.375)/I42/(L38/10)</f>
        <v>6.5726773801307965E-3</v>
      </c>
      <c r="M39" s="41"/>
    </row>
    <row r="40" spans="1:18" x14ac:dyDescent="0.25">
      <c r="A40" s="41" t="s">
        <v>94</v>
      </c>
      <c r="B40" s="41">
        <v>1.5</v>
      </c>
      <c r="C40" s="41"/>
      <c r="D40" s="41" t="s">
        <v>95</v>
      </c>
      <c r="E40" s="68">
        <f>IF(22.5*E39+SQRT((22.5*E39)^2+4*E39/B39)&lt;1,1,22.5*E39+SQRT((22.5*E39)^2+4*E39/B39))</f>
        <v>2.8160349581882484</v>
      </c>
      <c r="F40" s="41"/>
      <c r="G40" s="32"/>
      <c r="H40" s="41" t="s">
        <v>94</v>
      </c>
      <c r="I40" s="41">
        <v>1.5</v>
      </c>
      <c r="J40" s="41"/>
      <c r="K40" s="41" t="s">
        <v>95</v>
      </c>
      <c r="L40" s="68">
        <f>IF(22.5*L39+SQRT((22.5*L39)^2+4*L39/I39)&lt;1,1,22.5*L39+SQRT((22.5*L39)^2+4*L39/I39))</f>
        <v>1.7421988919225322</v>
      </c>
      <c r="M40" s="41"/>
    </row>
    <row r="41" spans="1:18" x14ac:dyDescent="0.25">
      <c r="A41" s="41" t="s">
        <v>96</v>
      </c>
      <c r="B41" s="69">
        <f>Plan1!AA32</f>
        <v>6.3</v>
      </c>
      <c r="C41" s="41" t="s">
        <v>91</v>
      </c>
      <c r="D41" s="41" t="s">
        <v>97</v>
      </c>
      <c r="E41" s="68">
        <f>IF(SQRT(3*E39*E27/B30/(B26/100))&lt;1,1,SQRT(3*E39*E27/B30/(B26/100)))</f>
        <v>1</v>
      </c>
      <c r="F41" s="41"/>
      <c r="G41" s="32"/>
      <c r="H41" s="41" t="s">
        <v>96</v>
      </c>
      <c r="I41" s="69">
        <f>Plan1!AA78</f>
        <v>12.5</v>
      </c>
      <c r="J41" s="41" t="s">
        <v>91</v>
      </c>
      <c r="K41" s="41" t="s">
        <v>97</v>
      </c>
      <c r="L41" s="68">
        <f>IF(SQRT(3*L39*L27/I30/(I26/100))&lt;1,1,SQRT(3*L39*L27/I30/(I26/100)))</f>
        <v>1.2372966970335337</v>
      </c>
      <c r="M41" s="41"/>
    </row>
    <row r="42" spans="1:18" x14ac:dyDescent="0.25">
      <c r="A42" s="41" t="s">
        <v>98</v>
      </c>
      <c r="B42" s="41">
        <f>'[1]T. PRISMÁTICO'!M12*100</f>
        <v>21000</v>
      </c>
      <c r="C42" s="41" t="s">
        <v>99</v>
      </c>
      <c r="D42" s="70" t="s">
        <v>100</v>
      </c>
      <c r="E42" s="71">
        <f>IF(E40&gt;E41,E41,E40)</f>
        <v>1</v>
      </c>
      <c r="F42" s="41"/>
      <c r="G42" s="32"/>
      <c r="H42" s="41" t="s">
        <v>98</v>
      </c>
      <c r="I42" s="41">
        <f>B42</f>
        <v>21000</v>
      </c>
      <c r="J42" s="41" t="s">
        <v>99</v>
      </c>
      <c r="K42" s="70" t="s">
        <v>100</v>
      </c>
      <c r="L42" s="71">
        <f>IF(L40&gt;L41,L41,L40)</f>
        <v>1.2372966970335337</v>
      </c>
      <c r="M42" s="41"/>
    </row>
    <row r="43" spans="1:18" ht="18" x14ac:dyDescent="0.35">
      <c r="A43" s="3"/>
      <c r="B43" s="3"/>
      <c r="C43" s="3"/>
      <c r="D43" s="45" t="s">
        <v>101</v>
      </c>
      <c r="E43" s="46">
        <f>E42*E35</f>
        <v>0.88215971897111423</v>
      </c>
      <c r="F43" s="3"/>
      <c r="G43" s="32"/>
      <c r="H43" s="3"/>
      <c r="I43" s="3"/>
      <c r="J43" s="3"/>
      <c r="K43" s="45" t="s">
        <v>101</v>
      </c>
      <c r="L43" s="46">
        <f>L42*L35</f>
        <v>4.0339592383349574</v>
      </c>
      <c r="M43" s="3"/>
    </row>
    <row r="44" spans="1:18" ht="14.25" customHeight="1" x14ac:dyDescent="0.25">
      <c r="A44" s="98" t="s">
        <v>59</v>
      </c>
      <c r="B44" s="98"/>
      <c r="C44" s="98"/>
      <c r="D44" s="98"/>
      <c r="E44" s="98"/>
      <c r="F44" s="98"/>
      <c r="G44" s="32"/>
      <c r="H44" s="98" t="s">
        <v>60</v>
      </c>
      <c r="I44" s="98"/>
      <c r="J44" s="98"/>
      <c r="K44" s="98"/>
      <c r="L44" s="98"/>
      <c r="M44" s="98"/>
    </row>
    <row r="45" spans="1:18" ht="14.25" customHeight="1" x14ac:dyDescent="0.25">
      <c r="A45" t="s">
        <v>61</v>
      </c>
      <c r="B45">
        <f>B26</f>
        <v>40</v>
      </c>
      <c r="C45" t="s">
        <v>62</v>
      </c>
      <c r="D45" t="s">
        <v>63</v>
      </c>
      <c r="E45" s="34">
        <f>0.85*B45/10/B47</f>
        <v>2.4285714285714288</v>
      </c>
      <c r="F45" t="s">
        <v>64</v>
      </c>
      <c r="G45" s="32"/>
      <c r="H45" t="s">
        <v>61</v>
      </c>
      <c r="I45">
        <f>B45</f>
        <v>40</v>
      </c>
      <c r="J45" t="s">
        <v>62</v>
      </c>
      <c r="K45" t="s">
        <v>63</v>
      </c>
      <c r="L45" s="34">
        <f>0.85*I45/10/I47</f>
        <v>2.4285714285714288</v>
      </c>
      <c r="M45" t="s">
        <v>64</v>
      </c>
      <c r="R45" s="3"/>
    </row>
    <row r="46" spans="1:18" ht="14.25" customHeight="1" x14ac:dyDescent="0.25">
      <c r="A46" t="s">
        <v>65</v>
      </c>
      <c r="B46">
        <f>B7</f>
        <v>50</v>
      </c>
      <c r="C46" t="s">
        <v>64</v>
      </c>
      <c r="D46" t="s">
        <v>66</v>
      </c>
      <c r="E46" s="34">
        <f>B46/B48</f>
        <v>43.478260869565219</v>
      </c>
      <c r="F46" t="s">
        <v>64</v>
      </c>
      <c r="G46" s="32"/>
      <c r="H46" t="s">
        <v>65</v>
      </c>
      <c r="I46">
        <f>B46</f>
        <v>50</v>
      </c>
      <c r="J46" t="s">
        <v>64</v>
      </c>
      <c r="K46" t="s">
        <v>66</v>
      </c>
      <c r="L46" s="34">
        <f>I46/I48</f>
        <v>43.478260869565219</v>
      </c>
      <c r="M46" t="s">
        <v>64</v>
      </c>
      <c r="R46" s="3"/>
    </row>
    <row r="47" spans="1:18" ht="14.25" customHeight="1" x14ac:dyDescent="0.25">
      <c r="A47" t="s">
        <v>67</v>
      </c>
      <c r="B47">
        <v>1.4</v>
      </c>
      <c r="D47" t="s">
        <v>68</v>
      </c>
      <c r="E47">
        <f>B49*B54*100</f>
        <v>19193.999999999996</v>
      </c>
      <c r="F47" t="s">
        <v>69</v>
      </c>
      <c r="G47" s="32"/>
      <c r="H47" t="s">
        <v>67</v>
      </c>
      <c r="I47">
        <v>1.4</v>
      </c>
      <c r="K47" t="s">
        <v>68</v>
      </c>
      <c r="L47">
        <f>I49*I54*100</f>
        <v>1662.28628125</v>
      </c>
      <c r="M47" t="s">
        <v>69</v>
      </c>
      <c r="R47" s="3"/>
    </row>
    <row r="48" spans="1:18" ht="14.25" customHeight="1" x14ac:dyDescent="0.25">
      <c r="A48" t="s">
        <v>70</v>
      </c>
      <c r="B48">
        <v>1.1499999999999999</v>
      </c>
      <c r="D48" t="s">
        <v>71</v>
      </c>
      <c r="E48" s="26">
        <f>SQRT(E47/E45/B50/B53)</f>
        <v>28.99635297079632</v>
      </c>
      <c r="F48" t="s">
        <v>72</v>
      </c>
      <c r="G48" s="32"/>
      <c r="H48" t="s">
        <v>70</v>
      </c>
      <c r="I48">
        <v>1.1499999999999999</v>
      </c>
      <c r="K48" t="s">
        <v>71</v>
      </c>
      <c r="L48" s="26">
        <f>SQRT(L47/L45/I50/I53)</f>
        <v>8.5332317946229157</v>
      </c>
      <c r="M48" t="s">
        <v>72</v>
      </c>
      <c r="R48" s="3"/>
    </row>
    <row r="49" spans="1:18" ht="14.25" customHeight="1" x14ac:dyDescent="0.25">
      <c r="A49" t="s">
        <v>73</v>
      </c>
      <c r="B49">
        <v>1.4</v>
      </c>
      <c r="D49" t="s">
        <v>74</v>
      </c>
      <c r="E49">
        <f>B51-B52</f>
        <v>46.5</v>
      </c>
      <c r="F49" t="s">
        <v>72</v>
      </c>
      <c r="G49" s="32"/>
      <c r="H49" t="s">
        <v>73</v>
      </c>
      <c r="I49">
        <v>1.4</v>
      </c>
      <c r="K49" t="s">
        <v>74</v>
      </c>
      <c r="L49">
        <f>I51-I52</f>
        <v>36.5</v>
      </c>
      <c r="M49" t="s">
        <v>72</v>
      </c>
      <c r="R49" s="3"/>
    </row>
    <row r="50" spans="1:18" ht="14.25" customHeight="1" x14ac:dyDescent="0.25">
      <c r="A50" t="s">
        <v>75</v>
      </c>
      <c r="B50" s="34">
        <v>25</v>
      </c>
      <c r="C50" t="s">
        <v>72</v>
      </c>
      <c r="D50" t="s">
        <v>76</v>
      </c>
      <c r="E50" s="35">
        <f>E47/E45/B50/E49^2</f>
        <v>0.14620717798045332</v>
      </c>
      <c r="G50" s="32"/>
      <c r="H50" t="s">
        <v>75</v>
      </c>
      <c r="I50" s="34">
        <v>25</v>
      </c>
      <c r="J50" t="s">
        <v>72</v>
      </c>
      <c r="K50" t="s">
        <v>76</v>
      </c>
      <c r="L50" s="35">
        <f>L47/L45/I50/L49^2</f>
        <v>2.0550822193767727E-2</v>
      </c>
      <c r="R50" s="3"/>
    </row>
    <row r="51" spans="1:18" ht="14.25" customHeight="1" x14ac:dyDescent="0.25">
      <c r="A51" t="s">
        <v>77</v>
      </c>
      <c r="B51" s="34">
        <v>50</v>
      </c>
      <c r="C51" t="s">
        <v>72</v>
      </c>
      <c r="D51" t="s">
        <v>78</v>
      </c>
      <c r="E51" s="35">
        <f>IF(E50&gt;B53,B53,E50)</f>
        <v>0.14620717798045332</v>
      </c>
      <c r="G51" s="32"/>
      <c r="H51" t="s">
        <v>77</v>
      </c>
      <c r="I51" s="34">
        <v>40</v>
      </c>
      <c r="J51" t="s">
        <v>72</v>
      </c>
      <c r="K51" t="s">
        <v>78</v>
      </c>
      <c r="L51" s="35">
        <f>IF(L50&gt;I53,I53,L50)</f>
        <v>2.0550822193767727E-2</v>
      </c>
      <c r="R51" s="3"/>
    </row>
    <row r="52" spans="1:18" ht="14.25" customHeight="1" x14ac:dyDescent="0.3">
      <c r="A52" t="s">
        <v>79</v>
      </c>
      <c r="B52" s="34">
        <v>3.5</v>
      </c>
      <c r="D52" t="s">
        <v>80</v>
      </c>
      <c r="E52" s="34">
        <f>E45*B50*E49/E46*(1-SQRT(1-2*E51))</f>
        <v>10.312735068179416</v>
      </c>
      <c r="F52" t="s">
        <v>81</v>
      </c>
      <c r="G52" s="32"/>
      <c r="H52" t="s">
        <v>79</v>
      </c>
      <c r="I52" s="34">
        <f>B52</f>
        <v>3.5</v>
      </c>
      <c r="K52" t="s">
        <v>80</v>
      </c>
      <c r="L52" s="34">
        <f>L45*I50*L49/L46*(1-SQRT(1-2*L51))</f>
        <v>1.0584582753153486</v>
      </c>
      <c r="M52" t="s">
        <v>81</v>
      </c>
      <c r="R52" s="3"/>
    </row>
    <row r="53" spans="1:18" ht="14.25" customHeight="1" x14ac:dyDescent="0.3">
      <c r="A53" t="s">
        <v>82</v>
      </c>
      <c r="B53">
        <v>0.376</v>
      </c>
      <c r="D53" t="s">
        <v>83</v>
      </c>
      <c r="E53" s="34">
        <f>E45*B50*E49/E46*(E50-E51)/(1-B52/E49)</f>
        <v>0</v>
      </c>
      <c r="F53" t="s">
        <v>81</v>
      </c>
      <c r="G53" s="32"/>
      <c r="H53" t="s">
        <v>82</v>
      </c>
      <c r="I53">
        <v>0.376</v>
      </c>
      <c r="K53" t="s">
        <v>83</v>
      </c>
      <c r="L53" s="34">
        <f>L45*I50*L49/L46*(L50-L51)/(1-I52/L49)</f>
        <v>0</v>
      </c>
      <c r="M53" t="s">
        <v>81</v>
      </c>
      <c r="R53" s="3"/>
    </row>
    <row r="54" spans="1:18" ht="14.25" customHeight="1" x14ac:dyDescent="0.25">
      <c r="A54" s="63" t="s">
        <v>84</v>
      </c>
      <c r="B54" s="64">
        <f>Plan1!M79</f>
        <v>137.1</v>
      </c>
      <c r="C54" s="63" t="s">
        <v>85</v>
      </c>
      <c r="D54" s="38" t="s">
        <v>86</v>
      </c>
      <c r="E54" s="39">
        <f>E52+E53</f>
        <v>10.312735068179416</v>
      </c>
      <c r="F54" s="38" t="s">
        <v>81</v>
      </c>
      <c r="G54" s="32"/>
      <c r="H54" s="63" t="s">
        <v>84</v>
      </c>
      <c r="I54" s="64">
        <f>Plan1!M80</f>
        <v>11.873473437500001</v>
      </c>
      <c r="J54" s="63" t="s">
        <v>85</v>
      </c>
      <c r="K54" s="38" t="s">
        <v>86</v>
      </c>
      <c r="L54" s="39">
        <f>L52+L53</f>
        <v>1.0584582753153486</v>
      </c>
      <c r="M54" s="38" t="s">
        <v>81</v>
      </c>
      <c r="R54" s="3"/>
    </row>
    <row r="55" spans="1:18" x14ac:dyDescent="0.25">
      <c r="A55" s="63"/>
      <c r="B55" s="63"/>
      <c r="C55" s="63"/>
      <c r="D55" s="38" t="s">
        <v>87</v>
      </c>
      <c r="E55" s="39">
        <f>E53</f>
        <v>0</v>
      </c>
      <c r="F55" s="38" t="s">
        <v>81</v>
      </c>
      <c r="G55" s="32"/>
      <c r="H55" s="63"/>
      <c r="I55" s="63"/>
      <c r="J55" s="63"/>
      <c r="K55" s="38" t="s">
        <v>87</v>
      </c>
      <c r="L55" s="39">
        <f>L53</f>
        <v>0</v>
      </c>
      <c r="M55" s="38" t="s">
        <v>81</v>
      </c>
    </row>
    <row r="56" spans="1:18" x14ac:dyDescent="0.25">
      <c r="A56" s="96" t="s">
        <v>88</v>
      </c>
      <c r="B56" s="96"/>
      <c r="C56" s="96"/>
      <c r="D56" s="96"/>
      <c r="E56" s="96"/>
      <c r="F56" s="96"/>
      <c r="G56" s="32"/>
      <c r="H56" s="96" t="s">
        <v>88</v>
      </c>
      <c r="I56" s="96"/>
      <c r="J56" s="96"/>
      <c r="K56" s="96"/>
      <c r="L56" s="96"/>
      <c r="M56" s="96"/>
    </row>
    <row r="57" spans="1:18" x14ac:dyDescent="0.25">
      <c r="A57" s="41" t="s">
        <v>89</v>
      </c>
      <c r="B57" s="41">
        <f>0.25*B50*B51</f>
        <v>312.5</v>
      </c>
      <c r="C57" s="41" t="s">
        <v>81</v>
      </c>
      <c r="D57" s="41" t="s">
        <v>90</v>
      </c>
      <c r="E57" s="41">
        <f>E38</f>
        <v>0.125</v>
      </c>
      <c r="F57" s="41" t="s">
        <v>91</v>
      </c>
      <c r="G57" s="32"/>
      <c r="H57" s="41" t="s">
        <v>89</v>
      </c>
      <c r="I57" s="41">
        <f>0.25*I50*I51</f>
        <v>250</v>
      </c>
      <c r="J57" s="41" t="s">
        <v>81</v>
      </c>
      <c r="K57" s="41" t="s">
        <v>90</v>
      </c>
      <c r="L57" s="41">
        <f>E57</f>
        <v>0.125</v>
      </c>
      <c r="M57" s="41" t="s">
        <v>91</v>
      </c>
    </row>
    <row r="58" spans="1:18" x14ac:dyDescent="0.25">
      <c r="A58" s="41" t="s">
        <v>92</v>
      </c>
      <c r="B58" s="67">
        <f>E54/B57</f>
        <v>3.3000752218174133E-2</v>
      </c>
      <c r="C58" s="41"/>
      <c r="D58" s="41" t="s">
        <v>93</v>
      </c>
      <c r="E58" s="67">
        <f>E46*(B60/10)/20/B49/(B59-0.375)/B61/(E57/10)</f>
        <v>8.4130270465674201E-3</v>
      </c>
      <c r="F58" s="41"/>
      <c r="G58" s="32"/>
      <c r="H58" s="41" t="s">
        <v>92</v>
      </c>
      <c r="I58" s="67">
        <f>L54/I57</f>
        <v>4.2338331012613944E-3</v>
      </c>
      <c r="J58" s="41"/>
      <c r="K58" s="41" t="s">
        <v>93</v>
      </c>
      <c r="L58" s="67">
        <f>L46*(I60/10)/20/I49/(I59-0.375)/I61/(L57/10)</f>
        <v>4.20651352328371E-3</v>
      </c>
      <c r="M58" s="41"/>
    </row>
    <row r="59" spans="1:18" x14ac:dyDescent="0.25">
      <c r="A59" s="41" t="s">
        <v>94</v>
      </c>
      <c r="B59" s="41">
        <v>1.5</v>
      </c>
      <c r="C59" s="41"/>
      <c r="D59" s="41" t="s">
        <v>95</v>
      </c>
      <c r="E59" s="68">
        <f>IF(22.5*E58+SQRT((22.5*E58)^2+4*E58/B58)&lt;1,1,22.5*E58+SQRT((22.5*E58)^2+4*E58/B58))</f>
        <v>1.2167022240777905</v>
      </c>
      <c r="F59" s="41"/>
      <c r="G59" s="32"/>
      <c r="H59" s="41" t="s">
        <v>94</v>
      </c>
      <c r="I59" s="41">
        <v>1.5</v>
      </c>
      <c r="J59" s="41"/>
      <c r="K59" s="41" t="s">
        <v>95</v>
      </c>
      <c r="L59" s="68">
        <f>IF(22.5*L58+SQRT((22.5*L58)^2+4*L58/I58)&lt;1,1,22.5*L58+SQRT((22.5*L58)^2+4*L58/I58))</f>
        <v>2.090428917875931</v>
      </c>
      <c r="M59" s="41"/>
    </row>
    <row r="60" spans="1:18" x14ac:dyDescent="0.25">
      <c r="A60" s="41" t="s">
        <v>96</v>
      </c>
      <c r="B60" s="69">
        <f>Plan1!AA79</f>
        <v>16</v>
      </c>
      <c r="C60" s="41" t="s">
        <v>91</v>
      </c>
      <c r="D60" s="41" t="s">
        <v>97</v>
      </c>
      <c r="E60" s="68">
        <f>IF(SQRT(3*E58*E46/B49/(B45/100))&lt;1,1,SQRT(3*E58*E46/B49/(B45/100)))</f>
        <v>1.3998414156994063</v>
      </c>
      <c r="F60" s="41"/>
      <c r="G60" s="32"/>
      <c r="H60" s="41" t="s">
        <v>96</v>
      </c>
      <c r="I60" s="69">
        <f>Plan1!AA80</f>
        <v>8</v>
      </c>
      <c r="J60" s="41" t="s">
        <v>91</v>
      </c>
      <c r="K60" s="41" t="s">
        <v>97</v>
      </c>
      <c r="L60" s="68">
        <f>IF(SQRT(3*L58*L46/I49/(I45/100))&lt;1,1,SQRT(3*L58*L46/I49/(I45/100)))</f>
        <v>1</v>
      </c>
      <c r="M60" s="41"/>
    </row>
    <row r="61" spans="1:18" x14ac:dyDescent="0.25">
      <c r="A61" s="3" t="s">
        <v>98</v>
      </c>
      <c r="B61" s="3">
        <f>B42</f>
        <v>21000</v>
      </c>
      <c r="C61" s="3" t="s">
        <v>99</v>
      </c>
      <c r="D61" s="43" t="s">
        <v>100</v>
      </c>
      <c r="E61" s="44">
        <f>IF(E59&gt;E60,E60,E59)</f>
        <v>1.2167022240777905</v>
      </c>
      <c r="F61" s="3"/>
      <c r="G61" s="32"/>
      <c r="H61" s="3" t="s">
        <v>98</v>
      </c>
      <c r="I61" s="3">
        <f>B61</f>
        <v>21000</v>
      </c>
      <c r="J61" s="3" t="s">
        <v>99</v>
      </c>
      <c r="K61" s="43" t="s">
        <v>100</v>
      </c>
      <c r="L61" s="44">
        <f>IF(L59&gt;L60,L60,L59)</f>
        <v>1</v>
      </c>
      <c r="M61" s="3"/>
    </row>
    <row r="62" spans="1:18" ht="18" x14ac:dyDescent="0.35">
      <c r="A62" s="3"/>
      <c r="B62" s="3"/>
      <c r="C62" s="3"/>
      <c r="D62" s="45" t="s">
        <v>101</v>
      </c>
      <c r="E62" s="46">
        <f>E61*E54</f>
        <v>12.547527693778919</v>
      </c>
      <c r="F62" s="3"/>
      <c r="G62" s="32"/>
      <c r="H62" s="3"/>
      <c r="I62" s="3"/>
      <c r="J62" s="3"/>
      <c r="K62" s="45" t="s">
        <v>101</v>
      </c>
      <c r="L62" s="46">
        <f>L61*L54</f>
        <v>1.0584582753153486</v>
      </c>
      <c r="M62" s="3"/>
    </row>
    <row r="63" spans="1:18" x14ac:dyDescent="0.25">
      <c r="A63" s="51"/>
      <c r="B63" s="51"/>
      <c r="C63" s="51"/>
      <c r="D63" s="45"/>
      <c r="E63" s="46"/>
      <c r="F63" s="51"/>
      <c r="G63" s="32"/>
      <c r="H63" s="51"/>
      <c r="I63" s="51"/>
      <c r="J63" s="51"/>
      <c r="K63" s="45"/>
      <c r="L63" s="46"/>
      <c r="M63" s="51"/>
    </row>
    <row r="64" spans="1:18" x14ac:dyDescent="0.25">
      <c r="A64" s="99" t="s">
        <v>55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5" customHeight="1" x14ac:dyDescent="0.25">
      <c r="A65" s="99" t="s">
        <v>56</v>
      </c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x14ac:dyDescent="0.25">
      <c r="A66" s="99" t="s">
        <v>57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4.25" customHeight="1" x14ac:dyDescent="0.25">
      <c r="A67" s="99" t="s">
        <v>28</v>
      </c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</row>
    <row r="68" spans="1:13" x14ac:dyDescent="0.25">
      <c r="A68" s="98" t="s">
        <v>103</v>
      </c>
      <c r="B68" s="98"/>
      <c r="C68" s="98"/>
      <c r="D68" s="98"/>
      <c r="E68" s="98"/>
      <c r="F68" s="98"/>
      <c r="G68" s="32"/>
      <c r="H68" s="98"/>
      <c r="I68" s="98"/>
      <c r="J68" s="98"/>
      <c r="K68" s="98"/>
      <c r="L68" s="98"/>
      <c r="M68" s="98"/>
    </row>
    <row r="69" spans="1:13" x14ac:dyDescent="0.25">
      <c r="A69" t="s">
        <v>61</v>
      </c>
      <c r="B69">
        <f>B45</f>
        <v>40</v>
      </c>
      <c r="C69" t="s">
        <v>62</v>
      </c>
      <c r="D69" t="s">
        <v>63</v>
      </c>
      <c r="E69" s="34">
        <f>0.85*B69/10/B71</f>
        <v>2.4285714285714288</v>
      </c>
      <c r="F69" t="s">
        <v>64</v>
      </c>
      <c r="G69" s="32"/>
      <c r="L69" s="34"/>
    </row>
    <row r="70" spans="1:13" x14ac:dyDescent="0.25">
      <c r="A70" t="s">
        <v>65</v>
      </c>
      <c r="B70">
        <f>B46</f>
        <v>50</v>
      </c>
      <c r="C70" t="s">
        <v>64</v>
      </c>
      <c r="D70" t="s">
        <v>66</v>
      </c>
      <c r="E70" s="34">
        <f>B70/B72</f>
        <v>43.478260869565219</v>
      </c>
      <c r="F70" t="s">
        <v>64</v>
      </c>
      <c r="G70" s="32"/>
      <c r="L70" s="34"/>
    </row>
    <row r="71" spans="1:13" x14ac:dyDescent="0.25">
      <c r="A71" t="s">
        <v>67</v>
      </c>
      <c r="B71">
        <v>1.4</v>
      </c>
      <c r="D71" t="s">
        <v>68</v>
      </c>
      <c r="E71">
        <f>B73*B78*100</f>
        <v>4863.3105390625014</v>
      </c>
      <c r="F71" t="s">
        <v>69</v>
      </c>
      <c r="G71" s="32"/>
    </row>
    <row r="72" spans="1:13" x14ac:dyDescent="0.25">
      <c r="A72" t="s">
        <v>70</v>
      </c>
      <c r="B72">
        <v>1.1499999999999999</v>
      </c>
      <c r="D72" t="s">
        <v>71</v>
      </c>
      <c r="E72" s="26">
        <f>SQRT(E71/E69/B74/B77)</f>
        <v>14.595757302998857</v>
      </c>
      <c r="F72" t="s">
        <v>72</v>
      </c>
      <c r="G72" s="32"/>
      <c r="L72" s="26"/>
    </row>
    <row r="73" spans="1:13" x14ac:dyDescent="0.25">
      <c r="A73" t="s">
        <v>73</v>
      </c>
      <c r="B73">
        <v>1.4</v>
      </c>
      <c r="D73" t="s">
        <v>74</v>
      </c>
      <c r="E73">
        <f>B75-B76</f>
        <v>36.5</v>
      </c>
      <c r="F73" t="s">
        <v>72</v>
      </c>
      <c r="G73" s="32"/>
    </row>
    <row r="74" spans="1:13" x14ac:dyDescent="0.25">
      <c r="A74" t="s">
        <v>75</v>
      </c>
      <c r="B74">
        <v>25</v>
      </c>
      <c r="C74" t="s">
        <v>72</v>
      </c>
      <c r="D74" t="s">
        <v>76</v>
      </c>
      <c r="E74" s="35">
        <f>E71/E69/B74/E73^2</f>
        <v>6.0125040607442087E-2</v>
      </c>
      <c r="G74" s="32"/>
      <c r="L74" s="35"/>
    </row>
    <row r="75" spans="1:13" x14ac:dyDescent="0.25">
      <c r="A75" t="s">
        <v>77</v>
      </c>
      <c r="B75" s="34">
        <v>40</v>
      </c>
      <c r="C75" t="s">
        <v>72</v>
      </c>
      <c r="D75" t="s">
        <v>78</v>
      </c>
      <c r="E75" s="35">
        <f>IF(E74&gt;B77,B77,E74)</f>
        <v>6.0125040607442087E-2</v>
      </c>
      <c r="G75" s="32"/>
      <c r="I75" s="34"/>
      <c r="L75" s="35"/>
    </row>
    <row r="76" spans="1:13" ht="15.75" x14ac:dyDescent="0.3">
      <c r="A76" t="s">
        <v>79</v>
      </c>
      <c r="B76" s="34">
        <f>B52</f>
        <v>3.5</v>
      </c>
      <c r="D76" t="s">
        <v>80</v>
      </c>
      <c r="E76" s="34">
        <f>E69*B74*E73/E70*(1-SQRT(1-2*E75))</f>
        <v>3.1626740480375024</v>
      </c>
      <c r="F76" t="s">
        <v>81</v>
      </c>
      <c r="G76" s="32"/>
      <c r="I76" s="34"/>
      <c r="L76" s="34"/>
    </row>
    <row r="77" spans="1:13" ht="15.75" x14ac:dyDescent="0.3">
      <c r="A77" t="s">
        <v>82</v>
      </c>
      <c r="B77">
        <v>0.376</v>
      </c>
      <c r="D77" t="s">
        <v>83</v>
      </c>
      <c r="E77" s="34">
        <f>E69*B74*E73/E70*(E74-E75)/(1-B76/E73)</f>
        <v>0</v>
      </c>
      <c r="F77" t="s">
        <v>81</v>
      </c>
      <c r="G77" s="32"/>
      <c r="L77" s="34"/>
    </row>
    <row r="78" spans="1:13" x14ac:dyDescent="0.25">
      <c r="A78" s="63" t="s">
        <v>84</v>
      </c>
      <c r="B78" s="64">
        <f>Plan1!M81</f>
        <v>34.737932421875009</v>
      </c>
      <c r="C78" s="63" t="s">
        <v>85</v>
      </c>
      <c r="D78" s="38" t="s">
        <v>86</v>
      </c>
      <c r="E78" s="39">
        <f>E76+E77</f>
        <v>3.1626740480375024</v>
      </c>
      <c r="F78" s="38" t="s">
        <v>81</v>
      </c>
      <c r="G78" s="32"/>
      <c r="K78" s="36"/>
      <c r="L78" s="37"/>
      <c r="M78" s="36"/>
    </row>
    <row r="79" spans="1:13" x14ac:dyDescent="0.25">
      <c r="A79" s="63"/>
      <c r="B79" s="63"/>
      <c r="C79" s="63"/>
      <c r="D79" s="38" t="s">
        <v>87</v>
      </c>
      <c r="E79" s="39">
        <f>E77</f>
        <v>0</v>
      </c>
      <c r="F79" s="38" t="s">
        <v>81</v>
      </c>
      <c r="G79" s="32"/>
      <c r="K79" s="36"/>
      <c r="L79" s="37"/>
      <c r="M79" s="36"/>
    </row>
    <row r="80" spans="1:13" x14ac:dyDescent="0.25">
      <c r="A80" s="96" t="s">
        <v>88</v>
      </c>
      <c r="B80" s="96"/>
      <c r="C80" s="96"/>
      <c r="D80" s="96"/>
      <c r="E80" s="96"/>
      <c r="F80" s="96"/>
      <c r="G80" s="32"/>
      <c r="H80" s="97"/>
      <c r="I80" s="97"/>
      <c r="J80" s="97"/>
      <c r="K80" s="97"/>
      <c r="L80" s="97"/>
      <c r="M80" s="97"/>
    </row>
    <row r="81" spans="1:15" x14ac:dyDescent="0.25">
      <c r="A81" s="41" t="s">
        <v>89</v>
      </c>
      <c r="B81" s="41">
        <f>0.25*B74*B75</f>
        <v>250</v>
      </c>
      <c r="C81" s="41" t="s">
        <v>81</v>
      </c>
      <c r="D81" s="41" t="s">
        <v>90</v>
      </c>
      <c r="E81" s="41">
        <f>E57</f>
        <v>0.125</v>
      </c>
      <c r="F81" s="41" t="s">
        <v>91</v>
      </c>
      <c r="G81" s="32"/>
      <c r="H81" s="3"/>
      <c r="I81" s="3"/>
      <c r="J81" s="3"/>
      <c r="K81" s="3"/>
      <c r="L81" s="3"/>
      <c r="M81" s="3"/>
    </row>
    <row r="82" spans="1:15" x14ac:dyDescent="0.25">
      <c r="A82" s="41" t="s">
        <v>92</v>
      </c>
      <c r="B82" s="67">
        <f>E78/B81</f>
        <v>1.2650696192150009E-2</v>
      </c>
      <c r="C82" s="41"/>
      <c r="D82" s="41" t="s">
        <v>93</v>
      </c>
      <c r="E82" s="67">
        <f>E70*(B84/10)/20/B73/(B83-0.375)/B85/(E81/10)</f>
        <v>6.5726773801307965E-3</v>
      </c>
      <c r="F82" s="41"/>
      <c r="G82" s="32"/>
      <c r="H82" s="3"/>
      <c r="I82" s="40"/>
      <c r="J82" s="3"/>
      <c r="K82" s="3"/>
      <c r="L82" s="40"/>
      <c r="M82" s="3"/>
    </row>
    <row r="83" spans="1:15" x14ac:dyDescent="0.25">
      <c r="A83" s="41" t="s">
        <v>94</v>
      </c>
      <c r="B83" s="41">
        <v>1.5</v>
      </c>
      <c r="C83" s="41"/>
      <c r="D83" s="41" t="s">
        <v>95</v>
      </c>
      <c r="E83" s="68">
        <f>IF(22.5*E82+SQRT((22.5*E82)^2+4*E82/B82)&lt;1,1,22.5*E82+SQRT((22.5*E82)^2+4*E82/B82))</f>
        <v>1.5970479748012103</v>
      </c>
      <c r="F83" s="41"/>
      <c r="G83" s="32"/>
      <c r="H83" s="3"/>
      <c r="I83" s="41"/>
      <c r="J83" s="3"/>
      <c r="K83" s="3"/>
      <c r="L83" s="42"/>
      <c r="M83" s="3"/>
    </row>
    <row r="84" spans="1:15" x14ac:dyDescent="0.25">
      <c r="A84" s="41" t="s">
        <v>96</v>
      </c>
      <c r="B84" s="69">
        <f>Plan1!AA81</f>
        <v>12.5</v>
      </c>
      <c r="C84" s="41" t="s">
        <v>91</v>
      </c>
      <c r="D84" s="41" t="s">
        <v>97</v>
      </c>
      <c r="E84" s="68">
        <f>IF(SQRT(3*E82*E70/B73/(B69/100))&lt;1,1,SQRT(3*E82*E70/B73/(B69/100)))</f>
        <v>1.2372966970335337</v>
      </c>
      <c r="F84" s="41"/>
      <c r="G84" s="32"/>
      <c r="H84" s="3"/>
      <c r="I84" s="41"/>
      <c r="J84" s="3"/>
      <c r="K84" s="3"/>
      <c r="L84" s="42"/>
      <c r="M84" s="3"/>
    </row>
    <row r="85" spans="1:15" x14ac:dyDescent="0.25">
      <c r="A85" s="3" t="s">
        <v>98</v>
      </c>
      <c r="B85" s="3">
        <f>B61</f>
        <v>21000</v>
      </c>
      <c r="C85" s="3" t="s">
        <v>99</v>
      </c>
      <c r="D85" s="43" t="s">
        <v>100</v>
      </c>
      <c r="E85" s="44">
        <f>IF(E83&gt;E84,E84,E83)</f>
        <v>1.2372966970335337</v>
      </c>
      <c r="F85" s="3"/>
      <c r="G85" s="32"/>
      <c r="H85" s="3"/>
      <c r="I85" s="3"/>
      <c r="J85" s="3"/>
      <c r="K85" s="43"/>
      <c r="L85" s="44"/>
      <c r="M85" s="3"/>
    </row>
    <row r="86" spans="1:15" ht="18" x14ac:dyDescent="0.35">
      <c r="A86" s="3"/>
      <c r="B86" s="3"/>
      <c r="C86" s="3"/>
      <c r="D86" s="45" t="s">
        <v>101</v>
      </c>
      <c r="E86" s="46">
        <f>E85*E78</f>
        <v>3.9131661534304771</v>
      </c>
      <c r="F86" s="3"/>
      <c r="G86" s="32"/>
      <c r="H86" s="3"/>
      <c r="I86" s="3"/>
      <c r="J86" s="3"/>
      <c r="K86" s="43"/>
      <c r="L86" s="44"/>
      <c r="M86" s="3"/>
    </row>
    <row r="87" spans="1:15" x14ac:dyDescent="0.25">
      <c r="A87" s="72"/>
      <c r="B87" s="72"/>
      <c r="C87" s="72"/>
      <c r="D87" s="73"/>
      <c r="E87" s="74"/>
      <c r="F87" s="72"/>
      <c r="G87" s="33"/>
      <c r="H87" s="72"/>
      <c r="I87" s="72"/>
      <c r="J87" s="72"/>
      <c r="K87" s="73"/>
      <c r="L87" s="74"/>
      <c r="M87" s="72"/>
      <c r="N87" s="33"/>
      <c r="O87" s="33"/>
    </row>
    <row r="88" spans="1:15" x14ac:dyDescent="0.25">
      <c r="A88" s="3"/>
      <c r="B88" s="3"/>
      <c r="C88" s="3"/>
      <c r="D88" s="70"/>
      <c r="E88" s="71"/>
      <c r="F88" s="3"/>
      <c r="G88" s="63"/>
      <c r="H88" s="3"/>
      <c r="I88" s="3"/>
      <c r="J88" s="3"/>
      <c r="K88" s="43"/>
      <c r="L88" s="44"/>
      <c r="M88" s="3"/>
    </row>
    <row r="89" spans="1:15" x14ac:dyDescent="0.25">
      <c r="A89" s="3"/>
      <c r="B89" s="3"/>
      <c r="C89" s="3"/>
      <c r="D89" s="70"/>
      <c r="E89" s="71"/>
      <c r="F89" s="3"/>
      <c r="G89" s="63"/>
      <c r="H89" s="3"/>
      <c r="I89" s="3"/>
      <c r="J89" s="3"/>
      <c r="K89" s="43"/>
      <c r="L89" s="44"/>
      <c r="M89" s="3"/>
    </row>
    <row r="90" spans="1:15" x14ac:dyDescent="0.25">
      <c r="A90" s="3"/>
      <c r="B90" s="3"/>
      <c r="C90" s="3"/>
      <c r="D90" s="70"/>
      <c r="E90" s="71"/>
      <c r="F90" s="3"/>
      <c r="G90" s="63"/>
      <c r="H90" s="3"/>
      <c r="I90" s="3"/>
      <c r="J90" s="3"/>
      <c r="K90" s="43"/>
      <c r="L90" s="44"/>
      <c r="M90" s="3"/>
    </row>
    <row r="91" spans="1:15" x14ac:dyDescent="0.25">
      <c r="A91" s="3"/>
      <c r="B91" s="3"/>
      <c r="C91" s="3"/>
      <c r="D91" s="70"/>
      <c r="E91" s="71"/>
      <c r="F91" s="3"/>
      <c r="G91" s="63"/>
      <c r="H91" s="3"/>
      <c r="I91" s="3"/>
      <c r="J91" s="3"/>
      <c r="K91" s="43"/>
      <c r="L91" s="44"/>
      <c r="M91" s="3"/>
    </row>
    <row r="92" spans="1:15" x14ac:dyDescent="0.25">
      <c r="A92" s="3"/>
      <c r="B92" s="3"/>
      <c r="C92" s="3"/>
      <c r="D92" s="70"/>
      <c r="E92" s="71"/>
      <c r="F92" s="3"/>
      <c r="G92" s="63"/>
      <c r="H92" s="3"/>
      <c r="I92" s="3"/>
      <c r="J92" s="3"/>
      <c r="K92" s="43"/>
      <c r="L92" s="44"/>
      <c r="M92" s="3"/>
    </row>
    <row r="93" spans="1:15" x14ac:dyDescent="0.25">
      <c r="A93" s="3"/>
      <c r="B93" s="3"/>
      <c r="C93" s="3"/>
      <c r="D93" s="70"/>
      <c r="E93" s="71"/>
      <c r="F93" s="3"/>
      <c r="G93" s="63"/>
      <c r="H93" s="3"/>
      <c r="I93" s="3"/>
      <c r="J93" s="3"/>
      <c r="K93" s="43"/>
      <c r="L93" s="44"/>
      <c r="M93" s="3"/>
    </row>
    <row r="94" spans="1:15" x14ac:dyDescent="0.25">
      <c r="A94" s="3"/>
      <c r="B94" s="3"/>
      <c r="C94" s="3"/>
      <c r="D94" s="70"/>
      <c r="E94" s="71"/>
      <c r="F94" s="3"/>
      <c r="G94" s="63"/>
      <c r="H94" s="3"/>
      <c r="I94" s="3"/>
      <c r="J94" s="3"/>
      <c r="K94" s="43"/>
      <c r="L94" s="44"/>
      <c r="M94" s="3"/>
    </row>
    <row r="95" spans="1:15" x14ac:dyDescent="0.25">
      <c r="A95" s="3"/>
      <c r="B95" s="3"/>
      <c r="C95" s="3"/>
      <c r="D95" s="70"/>
      <c r="E95" s="71"/>
      <c r="F95" s="3"/>
      <c r="G95" s="63"/>
      <c r="H95" s="3"/>
      <c r="I95" s="3"/>
      <c r="J95" s="3"/>
      <c r="K95" s="43"/>
      <c r="L95" s="44"/>
      <c r="M95" s="3"/>
    </row>
    <row r="96" spans="1:15" x14ac:dyDescent="0.25">
      <c r="A96" s="3"/>
      <c r="B96" s="3"/>
      <c r="C96" s="3"/>
      <c r="D96" s="70"/>
      <c r="E96" s="71"/>
      <c r="F96" s="3"/>
      <c r="G96" s="63"/>
      <c r="H96" s="3"/>
      <c r="I96" s="3"/>
      <c r="J96" s="3"/>
      <c r="K96" s="43"/>
      <c r="L96" s="44"/>
      <c r="M96" s="3"/>
    </row>
    <row r="97" spans="1:13" x14ac:dyDescent="0.25">
      <c r="A97" s="3"/>
      <c r="B97" s="3"/>
      <c r="C97" s="3"/>
      <c r="D97" s="70"/>
      <c r="E97" s="71"/>
      <c r="F97" s="3"/>
      <c r="G97" s="63"/>
      <c r="H97" s="3"/>
      <c r="I97" s="3"/>
      <c r="J97" s="3"/>
      <c r="K97" s="43"/>
      <c r="L97" s="44"/>
      <c r="M97" s="3"/>
    </row>
    <row r="98" spans="1:13" x14ac:dyDescent="0.25">
      <c r="A98" s="3"/>
      <c r="B98" s="3"/>
      <c r="C98" s="3"/>
      <c r="D98" s="70"/>
      <c r="E98" s="71"/>
      <c r="F98" s="3"/>
      <c r="G98" s="63"/>
      <c r="H98" s="3"/>
      <c r="I98" s="3"/>
      <c r="J98" s="3"/>
      <c r="K98" s="43"/>
      <c r="L98" s="44"/>
      <c r="M98" s="3"/>
    </row>
    <row r="99" spans="1:13" x14ac:dyDescent="0.25">
      <c r="A99" s="3"/>
      <c r="B99" s="3"/>
      <c r="C99" s="3"/>
      <c r="D99" s="70"/>
      <c r="E99" s="71"/>
      <c r="F99" s="3"/>
      <c r="G99" s="63"/>
      <c r="H99" s="3"/>
      <c r="I99" s="3"/>
      <c r="J99" s="3"/>
      <c r="K99" s="43"/>
      <c r="L99" s="44"/>
      <c r="M99" s="3"/>
    </row>
    <row r="100" spans="1:13" x14ac:dyDescent="0.25">
      <c r="A100" s="3"/>
      <c r="B100" s="3"/>
      <c r="C100" s="3"/>
      <c r="D100" s="70"/>
      <c r="E100" s="71"/>
      <c r="F100" s="3"/>
      <c r="G100" s="63"/>
      <c r="H100" s="3"/>
      <c r="I100" s="3"/>
      <c r="J100" s="3"/>
      <c r="K100" s="43"/>
      <c r="L100" s="44"/>
      <c r="M100" s="3"/>
    </row>
    <row r="101" spans="1:13" x14ac:dyDescent="0.25">
      <c r="A101" s="3"/>
      <c r="B101" s="3"/>
      <c r="C101" s="3"/>
      <c r="D101" s="70"/>
      <c r="E101" s="71"/>
      <c r="F101" s="3"/>
      <c r="G101" s="63"/>
      <c r="H101" s="3"/>
      <c r="I101" s="3"/>
      <c r="J101" s="3"/>
      <c r="K101" s="43"/>
      <c r="L101" s="44"/>
      <c r="M101" s="3"/>
    </row>
    <row r="102" spans="1:13" x14ac:dyDescent="0.25">
      <c r="A102" s="3"/>
      <c r="B102" s="3"/>
      <c r="C102" s="3"/>
      <c r="D102" s="70"/>
      <c r="E102" s="71"/>
      <c r="F102" s="3"/>
      <c r="G102" s="63"/>
      <c r="H102" s="3"/>
      <c r="I102" s="3"/>
      <c r="J102" s="3"/>
      <c r="K102" s="43"/>
      <c r="L102" s="44"/>
      <c r="M102" s="3"/>
    </row>
    <row r="103" spans="1:13" x14ac:dyDescent="0.25">
      <c r="A103" s="3"/>
      <c r="B103" s="3"/>
      <c r="C103" s="3"/>
      <c r="D103" s="70"/>
      <c r="E103" s="71"/>
      <c r="F103" s="3"/>
      <c r="G103" s="63"/>
      <c r="H103" s="3"/>
      <c r="I103" s="3"/>
      <c r="J103" s="3"/>
      <c r="K103" s="43"/>
      <c r="L103" s="44"/>
      <c r="M103" s="3"/>
    </row>
    <row r="104" spans="1:13" x14ac:dyDescent="0.25">
      <c r="A104" s="3"/>
      <c r="B104" s="3"/>
      <c r="C104" s="3"/>
      <c r="D104" s="70"/>
      <c r="E104" s="71"/>
      <c r="F104" s="3"/>
      <c r="G104" s="63"/>
      <c r="H104" s="3"/>
      <c r="I104" s="3"/>
      <c r="J104" s="3"/>
      <c r="K104" s="43"/>
      <c r="L104" s="44"/>
      <c r="M104" s="3"/>
    </row>
    <row r="105" spans="1:13" x14ac:dyDescent="0.25">
      <c r="A105" s="3"/>
      <c r="B105" s="3"/>
      <c r="C105" s="3"/>
      <c r="D105" s="70"/>
      <c r="E105" s="71"/>
      <c r="F105" s="3"/>
      <c r="G105" s="63"/>
      <c r="H105" s="3"/>
      <c r="I105" s="3"/>
      <c r="J105" s="3"/>
      <c r="K105" s="43"/>
      <c r="L105" s="44"/>
      <c r="M105" s="3"/>
    </row>
    <row r="106" spans="1:13" x14ac:dyDescent="0.25">
      <c r="A106" s="3"/>
      <c r="B106" s="3"/>
      <c r="C106" s="3"/>
      <c r="D106" s="70"/>
      <c r="E106" s="71"/>
      <c r="F106" s="3"/>
      <c r="G106" s="63"/>
      <c r="H106" s="3"/>
      <c r="I106" s="3"/>
      <c r="J106" s="3"/>
      <c r="K106" s="43"/>
      <c r="L106" s="44"/>
      <c r="M106" s="3"/>
    </row>
    <row r="107" spans="1:13" x14ac:dyDescent="0.25">
      <c r="A107" s="3"/>
      <c r="B107" s="3"/>
      <c r="C107" s="3"/>
      <c r="D107" s="70"/>
      <c r="E107" s="71"/>
      <c r="F107" s="3"/>
      <c r="G107" s="63"/>
      <c r="H107" s="3"/>
      <c r="I107" s="3"/>
      <c r="J107" s="3"/>
      <c r="K107" s="43"/>
      <c r="L107" s="44"/>
      <c r="M107" s="3"/>
    </row>
    <row r="108" spans="1:13" x14ac:dyDescent="0.25">
      <c r="A108" s="3"/>
      <c r="B108" s="3"/>
      <c r="C108" s="3"/>
      <c r="D108" s="70"/>
      <c r="E108" s="71"/>
      <c r="F108" s="3"/>
      <c r="G108" s="63"/>
      <c r="H108" s="3"/>
      <c r="I108" s="3"/>
      <c r="J108" s="3"/>
      <c r="K108" s="43"/>
      <c r="L108" s="44"/>
      <c r="M108" s="3"/>
    </row>
    <row r="109" spans="1:13" x14ac:dyDescent="0.25">
      <c r="A109" s="3"/>
      <c r="B109" s="3"/>
      <c r="C109" s="3"/>
      <c r="D109" s="70"/>
      <c r="E109" s="71"/>
      <c r="F109" s="3"/>
      <c r="G109" s="63"/>
      <c r="H109" s="3"/>
      <c r="I109" s="3"/>
      <c r="J109" s="3"/>
      <c r="K109" s="43"/>
      <c r="L109" s="44"/>
      <c r="M109" s="3"/>
    </row>
    <row r="110" spans="1:13" x14ac:dyDescent="0.25">
      <c r="A110" s="3"/>
      <c r="B110" s="3"/>
      <c r="C110" s="3"/>
      <c r="D110" s="70"/>
      <c r="E110" s="71"/>
      <c r="F110" s="3"/>
      <c r="G110" s="63"/>
      <c r="H110" s="3"/>
      <c r="I110" s="3"/>
      <c r="J110" s="3"/>
      <c r="K110" s="43"/>
      <c r="L110" s="44"/>
      <c r="M110" s="3"/>
    </row>
    <row r="111" spans="1:13" x14ac:dyDescent="0.25">
      <c r="A111" s="3"/>
      <c r="B111" s="3"/>
      <c r="C111" s="3"/>
      <c r="D111" s="70"/>
      <c r="E111" s="71"/>
      <c r="F111" s="3"/>
      <c r="G111" s="63"/>
      <c r="H111" s="3"/>
      <c r="I111" s="3"/>
      <c r="J111" s="3"/>
      <c r="K111" s="43"/>
      <c r="L111" s="44"/>
      <c r="M111" s="3"/>
    </row>
    <row r="112" spans="1:13" x14ac:dyDescent="0.25">
      <c r="A112" s="3"/>
      <c r="B112" s="3"/>
      <c r="C112" s="3"/>
      <c r="D112" s="70"/>
      <c r="E112" s="71"/>
      <c r="F112" s="3"/>
      <c r="G112" s="63"/>
      <c r="H112" s="3"/>
      <c r="I112" s="3"/>
      <c r="J112" s="3"/>
      <c r="K112" s="43"/>
      <c r="L112" s="44"/>
      <c r="M112" s="3"/>
    </row>
    <row r="113" spans="1:14" x14ac:dyDescent="0.25">
      <c r="A113" s="3"/>
      <c r="B113" s="3"/>
      <c r="C113" s="3"/>
      <c r="D113" s="70"/>
      <c r="E113" s="71"/>
      <c r="F113" s="3"/>
      <c r="G113" s="63"/>
      <c r="H113" s="3"/>
      <c r="I113" s="3"/>
      <c r="J113" s="3"/>
      <c r="K113" s="43"/>
      <c r="L113" s="44"/>
      <c r="M113" s="3"/>
    </row>
    <row r="114" spans="1:14" x14ac:dyDescent="0.25">
      <c r="A114" s="3"/>
      <c r="B114" s="3"/>
      <c r="C114" s="3"/>
      <c r="D114" s="70"/>
      <c r="E114" s="71"/>
      <c r="F114" s="3"/>
      <c r="G114" s="63"/>
      <c r="H114" s="3"/>
      <c r="I114" s="3"/>
      <c r="J114" s="3"/>
      <c r="K114" s="43"/>
      <c r="L114" s="44"/>
      <c r="M114" s="3"/>
    </row>
    <row r="115" spans="1:14" x14ac:dyDescent="0.25">
      <c r="A115" s="3"/>
      <c r="B115" s="3"/>
      <c r="C115" s="3"/>
      <c r="D115" s="70"/>
      <c r="E115" s="71"/>
      <c r="F115" s="3"/>
      <c r="G115" s="63"/>
      <c r="H115" s="3"/>
      <c r="I115" s="3"/>
      <c r="J115" s="3"/>
      <c r="K115" s="43"/>
      <c r="L115" s="44"/>
      <c r="M115" s="3"/>
    </row>
    <row r="116" spans="1:14" x14ac:dyDescent="0.25">
      <c r="A116" s="3"/>
      <c r="B116" s="3"/>
      <c r="C116" s="3"/>
      <c r="D116" s="70"/>
      <c r="E116" s="71"/>
      <c r="F116" s="3"/>
      <c r="G116" s="63"/>
      <c r="H116" s="3"/>
      <c r="I116" s="3"/>
      <c r="J116" s="3"/>
      <c r="K116" s="43"/>
      <c r="L116" s="44"/>
      <c r="M116" s="3"/>
    </row>
    <row r="117" spans="1:14" x14ac:dyDescent="0.25">
      <c r="A117" s="3"/>
      <c r="B117" s="3"/>
      <c r="C117" s="3"/>
      <c r="D117" s="70"/>
      <c r="E117" s="71"/>
      <c r="F117" s="3"/>
      <c r="G117" s="63"/>
      <c r="H117" s="3"/>
      <c r="I117" s="3"/>
      <c r="J117" s="3"/>
      <c r="K117" s="43"/>
      <c r="L117" s="44"/>
      <c r="M117" s="3"/>
    </row>
    <row r="118" spans="1:14" x14ac:dyDescent="0.25">
      <c r="A118" s="3"/>
      <c r="B118" s="3"/>
      <c r="C118" s="3"/>
      <c r="D118" s="70"/>
      <c r="E118" s="71"/>
      <c r="F118" s="3"/>
      <c r="G118" s="63"/>
      <c r="H118" s="3"/>
      <c r="I118" s="3"/>
      <c r="J118" s="3"/>
      <c r="K118" s="43"/>
      <c r="L118" s="44"/>
      <c r="M118" s="3"/>
    </row>
    <row r="119" spans="1:14" x14ac:dyDescent="0.25">
      <c r="A119" s="3"/>
      <c r="B119" s="3"/>
      <c r="C119" s="3"/>
      <c r="D119" s="70"/>
      <c r="E119" s="71"/>
      <c r="F119" s="3"/>
      <c r="G119" s="63"/>
      <c r="H119" s="3"/>
      <c r="I119" s="3"/>
      <c r="J119" s="3"/>
      <c r="K119" s="43"/>
      <c r="L119" s="44"/>
      <c r="M119" s="3"/>
    </row>
    <row r="120" spans="1:14" x14ac:dyDescent="0.25">
      <c r="A120" s="3"/>
      <c r="B120" s="3"/>
      <c r="C120" s="3"/>
      <c r="D120" s="70"/>
      <c r="E120" s="71"/>
      <c r="F120" s="3"/>
      <c r="G120" s="63"/>
      <c r="H120" s="3"/>
      <c r="I120" s="3"/>
      <c r="J120" s="3"/>
      <c r="K120" s="43"/>
      <c r="L120" s="44"/>
      <c r="M120" s="3"/>
    </row>
    <row r="121" spans="1:14" x14ac:dyDescent="0.25">
      <c r="A121" s="41"/>
      <c r="B121" s="41"/>
      <c r="C121" s="41"/>
      <c r="D121" s="38"/>
      <c r="E121" s="39"/>
      <c r="F121" s="41"/>
      <c r="G121" s="63"/>
      <c r="H121" s="41"/>
      <c r="I121" s="41"/>
      <c r="J121" s="38"/>
      <c r="K121" s="39"/>
      <c r="L121" s="38"/>
      <c r="M121" s="41"/>
      <c r="N121" s="63"/>
    </row>
  </sheetData>
  <mergeCells count="16">
    <mergeCell ref="A80:F80"/>
    <mergeCell ref="H80:M80"/>
    <mergeCell ref="A37:F37"/>
    <mergeCell ref="H37:M37"/>
    <mergeCell ref="A5:F5"/>
    <mergeCell ref="H5:M5"/>
    <mergeCell ref="A17:F17"/>
    <mergeCell ref="H17:M17"/>
    <mergeCell ref="A25:F25"/>
    <mergeCell ref="H25:M25"/>
    <mergeCell ref="A44:F44"/>
    <mergeCell ref="H44:M44"/>
    <mergeCell ref="A56:F56"/>
    <mergeCell ref="H56:M56"/>
    <mergeCell ref="A68:F68"/>
    <mergeCell ref="H68:M6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Plan2!Area_de_impressao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MAURO</dc:creator>
  <cp:lastModifiedBy>Usuário do Windows</cp:lastModifiedBy>
  <cp:lastPrinted>2017-09-20T16:48:22Z</cp:lastPrinted>
  <dcterms:created xsi:type="dcterms:W3CDTF">2015-08-22T11:07:12Z</dcterms:created>
  <dcterms:modified xsi:type="dcterms:W3CDTF">2017-09-20T16:49:54Z</dcterms:modified>
</cp:coreProperties>
</file>